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45" windowHeight="8010" tabRatio="598" firstSheet="47" activeTab="50"/>
  </bookViews>
  <sheets>
    <sheet name="Советская 30" sheetId="1" r:id="rId1"/>
    <sheet name="Советская 32" sheetId="2" r:id="rId2"/>
    <sheet name="Советская 36" sheetId="3" r:id="rId3"/>
    <sheet name="Советская 42 а" sheetId="4" r:id="rId4"/>
    <sheet name="Советская 44" sheetId="5" r:id="rId5"/>
    <sheet name="Советская 44 а" sheetId="6" r:id="rId6"/>
    <sheet name="Советская 44 б" sheetId="7" r:id="rId7"/>
    <sheet name="Советская 44 в" sheetId="8" r:id="rId8"/>
    <sheet name="Свободы 4" sheetId="9" r:id="rId9"/>
    <sheet name="Свободы 9" sheetId="10" r:id="rId10"/>
    <sheet name="Свободы 11" sheetId="11" r:id="rId11"/>
    <sheet name="Свободы 12" sheetId="12" r:id="rId12"/>
    <sheet name="Свободы 13" sheetId="13" r:id="rId13"/>
    <sheet name="Свердлова 1" sheetId="14" r:id="rId14"/>
    <sheet name="Свердлова 2" sheetId="15" r:id="rId15"/>
    <sheet name="Свердлова 3" sheetId="16" r:id="rId16"/>
    <sheet name="Свердлова 4" sheetId="17" r:id="rId17"/>
    <sheet name="Свердлова 5" sheetId="18" r:id="rId18"/>
    <sheet name="Свердлова 22" sheetId="19" r:id="rId19"/>
    <sheet name="Свердлова 23" sheetId="20" r:id="rId20"/>
    <sheet name="Свердлова 24" sheetId="21" r:id="rId21"/>
    <sheet name="Свердлова 25" sheetId="22" r:id="rId22"/>
    <sheet name="Свердлова 28" sheetId="23" r:id="rId23"/>
    <sheet name="Свердлова 28 а" sheetId="24" r:id="rId24"/>
    <sheet name="Свердлова 29" sheetId="25" r:id="rId25"/>
    <sheet name="Свердлова 30 а" sheetId="26" r:id="rId26"/>
    <sheet name="Свердлова 31" sheetId="27" r:id="rId27"/>
    <sheet name="Свердлова 33" sheetId="28" r:id="rId28"/>
    <sheet name="Свердлова 35" sheetId="29" r:id="rId29"/>
    <sheet name="Свердлова 35 а" sheetId="30" r:id="rId30"/>
    <sheet name="Свердлова 37" sheetId="31" r:id="rId31"/>
    <sheet name="Свердлова 37 а" sheetId="32" r:id="rId32"/>
    <sheet name="Свердлова 37 б" sheetId="33" r:id="rId33"/>
    <sheet name="Свердлова 39 а" sheetId="34" r:id="rId34"/>
    <sheet name="Свердлова 39 б" sheetId="35" r:id="rId35"/>
    <sheet name="Свердлова 41" sheetId="36" r:id="rId36"/>
    <sheet name="Свердлова 41 б" sheetId="37" r:id="rId37"/>
    <sheet name="Свердлова 41 в" sheetId="38" r:id="rId38"/>
    <sheet name="Свердлова 43" sheetId="39" r:id="rId39"/>
    <sheet name="Свердлова 43 а" sheetId="40" r:id="rId40"/>
    <sheet name="Свердлова 43 б" sheetId="41" r:id="rId41"/>
    <sheet name="Свердлова 43 в" sheetId="42" r:id="rId42"/>
    <sheet name="Свердлова 45" sheetId="43" r:id="rId43"/>
    <sheet name="Свердлова 45 а" sheetId="44" r:id="rId44"/>
    <sheet name="Свердлова 47" sheetId="45" r:id="rId45"/>
    <sheet name="Свердлова 47 а" sheetId="46" r:id="rId46"/>
    <sheet name="Свердлова 47 б" sheetId="47" r:id="rId47"/>
    <sheet name="Свердлова 49 а " sheetId="48" r:id="rId48"/>
    <sheet name="Свердлова 49 б" sheetId="49" r:id="rId49"/>
    <sheet name="Свердлова 51" sheetId="50" r:id="rId50"/>
    <sheet name="Свердлова 53" sheetId="51" r:id="rId51"/>
  </sheets>
  <definedNames/>
  <calcPr fullCalcOnLoad="1"/>
</workbook>
</file>

<file path=xl/sharedStrings.xml><?xml version="1.0" encoding="utf-8"?>
<sst xmlns="http://schemas.openxmlformats.org/spreadsheetml/2006/main" count="1406" uniqueCount="93">
  <si>
    <t xml:space="preserve">ПЕРЕЧЕНЬ </t>
  </si>
  <si>
    <t>№ п/п</t>
  </si>
  <si>
    <t>Наименование работ и затрат</t>
  </si>
  <si>
    <t>№ 30 по ул. Советская п. Советский за 2011 год</t>
  </si>
  <si>
    <t xml:space="preserve">затрат по ремонту и содержанию жилого дома </t>
  </si>
  <si>
    <t>Стоимость, руб.</t>
  </si>
  <si>
    <t>Итого:</t>
  </si>
  <si>
    <t xml:space="preserve">Проверка вентканалов - 1 раз в год </t>
  </si>
  <si>
    <t>Техническое обслуживание внутридомовых газопроводов и газового оборудования (ООО "Марийскгаз")</t>
  </si>
  <si>
    <t>Снятие показаний электросчетчиков (12 мес.)</t>
  </si>
  <si>
    <t>Установка электросчетчиков (шт.)</t>
  </si>
  <si>
    <t>Дератизация подвального помещения (ООО "Рубеж")</t>
  </si>
  <si>
    <t>Уборка подвального помещения от мусора</t>
  </si>
  <si>
    <t>Уборка снега и льда с крыши дома</t>
  </si>
  <si>
    <t>Затраты по ремонтно-строительным работам</t>
  </si>
  <si>
    <t>Затраты по санитарно-техническим и электромонтажным работам</t>
  </si>
  <si>
    <t>Расход материалов</t>
  </si>
  <si>
    <t>Транспортные расходы</t>
  </si>
  <si>
    <t>Промывка и опрессовка системы отопления (подготовка к отопительному сезону)</t>
  </si>
  <si>
    <t>ППР- сети электричества</t>
  </si>
  <si>
    <t>ППР - сети отопления</t>
  </si>
  <si>
    <t>ППР- сети водопровода</t>
  </si>
  <si>
    <t>ППР- сети канализации</t>
  </si>
  <si>
    <t>Общеэксплуатационные расходы</t>
  </si>
  <si>
    <t>Услуги управляющей компании ООО "Жилэкспо"</t>
  </si>
  <si>
    <t>-</t>
  </si>
  <si>
    <t>№ 32 по ул. Советская п. Советский за 2011 год</t>
  </si>
  <si>
    <t>№ 36 по ул. Советская п. Советский за 2011 год</t>
  </si>
  <si>
    <t xml:space="preserve">Проверка вентканалов и дымоходов - 4 раза в год </t>
  </si>
  <si>
    <t>Установка электросчетчиков (2 шт.)</t>
  </si>
  <si>
    <t>№ 44 по ул. Советская п. Советский за 2011 год</t>
  </si>
  <si>
    <t xml:space="preserve">Проверка вентканалов  - 1 раз в год </t>
  </si>
  <si>
    <t>Установка электросчетчиков (1 шт.)</t>
  </si>
  <si>
    <t xml:space="preserve">Проверка вентканалов и дымоходов  - 4 раза в год </t>
  </si>
  <si>
    <t>Установка электросчетчиков (5 шт.)</t>
  </si>
  <si>
    <t>Установка электросчетчиков (6 шт.)</t>
  </si>
  <si>
    <t>Установка электросчетчиков (3 шт.)</t>
  </si>
  <si>
    <t>№ 4 по ул. Свободы п. Советский за 2011 год</t>
  </si>
  <si>
    <t xml:space="preserve">Проверка вентканалов- 1 раз в год </t>
  </si>
  <si>
    <t>Обслуживание тепловых узлов (ООО "Инжекомстрой")</t>
  </si>
  <si>
    <t>№ 9 по ул. Свободы п. Советский за 2011 год</t>
  </si>
  <si>
    <t xml:space="preserve">Проверка вентканалов и дымоходов- 4 раза в год </t>
  </si>
  <si>
    <t>№ 11 по ул. Свободы п. Советский за 2011 год</t>
  </si>
  <si>
    <t>№ 12 по ул. Свободы п. Советский за 2011 год</t>
  </si>
  <si>
    <t>№ 13 по ул. Свободы п. Советский за 2011 год</t>
  </si>
  <si>
    <t>№ 1 по ул. Свердлова п. Советский за 2011 год</t>
  </si>
  <si>
    <t>Установка электросчетчиков ( 1 шт.)</t>
  </si>
  <si>
    <t>№ 2 по ул. Свердлова п. Советский за 2011 год</t>
  </si>
  <si>
    <t>№ 3 по ул. Свердлова п. Советский за 2011 год</t>
  </si>
  <si>
    <t>№ 4 по ул. Свердлова п. Советский за 2011 год</t>
  </si>
  <si>
    <t>№ 5 по ул. Свердлова п. Советский за 2011 год</t>
  </si>
  <si>
    <t>№ 22 по ул. Свердлова п. Советский за 2011 год</t>
  </si>
  <si>
    <t>Установка электросчетчиков (4 шт.)</t>
  </si>
  <si>
    <t>№ 23 по ул. Свердлова п. Советский за 2011 год</t>
  </si>
  <si>
    <t>Установка электросчетчиков ( шт.)</t>
  </si>
  <si>
    <t>№ 24 по ул. Свердлова п. Советский за 2011 год</t>
  </si>
  <si>
    <t>№ 25 по ул. Свердлова п. Советский за 2011 год</t>
  </si>
  <si>
    <t>№ 28 по ул. Свердлова п. Советский за 2011 год</t>
  </si>
  <si>
    <t>№ 29 по ул. Свердлова п. Советский за 2011 год</t>
  </si>
  <si>
    <t>Установка электросчетчиков (12 шт.)</t>
  </si>
  <si>
    <t>№ 31 по ул. Свердлова п. Советский за 2011 год</t>
  </si>
  <si>
    <t>№ 33 по ул. Свердлова п. Советский за 2011 год</t>
  </si>
  <si>
    <t>№ 35 по ул. Свердлова п. Советский за 2011 год</t>
  </si>
  <si>
    <t>№ 37 по ул. Свердлова п. Советский за 2011 год</t>
  </si>
  <si>
    <t>Установка электросчетчиков ( 2 шт.)</t>
  </si>
  <si>
    <t>№ 42 "а" по ул. Советская п. Советский за 2011 год</t>
  </si>
  <si>
    <t>№ 44  "а" по ул. Советская п. Советский за 2011 год</t>
  </si>
  <si>
    <t>№ 44 "б" по ул. Советская п. Советский за 2011 год</t>
  </si>
  <si>
    <t>№ 44 "в" по ул. Советская п. Советский за 2011 год</t>
  </si>
  <si>
    <t>Установка электросчетчиков</t>
  </si>
  <si>
    <t>№ 28 "а" по ул. Свердлова п. Советский за 2011 год</t>
  </si>
  <si>
    <t>№ 30 "а" по ул. Свердлова п. Советский за 2011 год</t>
  </si>
  <si>
    <t>№ 35 "а" по ул. Свердлова п. Советский за 2011 год</t>
  </si>
  <si>
    <t>№ 37 "а"  по ул. Свердлова п. Советский за 2011 год</t>
  </si>
  <si>
    <t>№ 37 "б"  по ул. Свердлова п. Советский за 2011 год</t>
  </si>
  <si>
    <t>№ 39 "а"  по ул. Свердлова п. Советский за 2011 год</t>
  </si>
  <si>
    <t>№ 39 "б"  по ул. Свердлова п. Советский за 2011 год</t>
  </si>
  <si>
    <t>№ 41  по ул. Свердлова п. Советский за 2011 год</t>
  </si>
  <si>
    <t>№ 41 "б" по ул. Свердлова п. Советский за 2011 год</t>
  </si>
  <si>
    <t>№ 41 "в" по ул. Свердлова п. Советский за 2011 год</t>
  </si>
  <si>
    <t>№ 43 по ул. Свердлова п. Советский за 2011 год</t>
  </si>
  <si>
    <t>№ 43 "а" по ул. Свердлова п. Советский за 2011 год</t>
  </si>
  <si>
    <t>№ 43 "б" по ул. Свердлова п. Советский за 2011 год</t>
  </si>
  <si>
    <t>№ 43 "в" по ул. Свердлова п. Советский за 2011 год</t>
  </si>
  <si>
    <t>№ 45 по ул. Свердлова п. Советский за 2011 год</t>
  </si>
  <si>
    <t>№ 45 "а" по ул. Свердлова п. Советский за 2011 год</t>
  </si>
  <si>
    <t>№ 47 по ул. Свердлова п. Советский за 2011 год</t>
  </si>
  <si>
    <t>№ 47 "а" по ул. Свердлова п. Советский за 2011 год</t>
  </si>
  <si>
    <t>№ 47 "б" по ул. Свердлова п. Советский за 2011 год</t>
  </si>
  <si>
    <t>№ 49 "а" по ул. Свердлова п. Советский за 2011 год</t>
  </si>
  <si>
    <t>№ 49 "б" по ул. Свердлова п. Советский за 2011 год</t>
  </si>
  <si>
    <t>№ 51 по ул. Свердлова п. Советский за 2011 год</t>
  </si>
  <si>
    <t>№ 53 по ул. Свердлова п. Советский за 2011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</si>
</sst>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left" wrapText="1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/>
    </xf>
    <xf numFmtId="2" fontId="37" fillId="0" borderId="10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top"/>
    </xf>
    <xf numFmtId="0" fontId="37" fillId="0" borderId="0" xfId="0" applyFont="1" applyAlignment="1">
      <alignment horizontal="center" vertical="top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top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8">
      <selection activeCell="C23" sqref="C23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4</v>
      </c>
      <c r="B2" s="15"/>
      <c r="C2" s="15"/>
      <c r="D2" s="10"/>
      <c r="E2" s="10"/>
      <c r="F2" s="10"/>
    </row>
    <row r="3" spans="1:6" ht="18.75">
      <c r="A3" s="15" t="s">
        <v>3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7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 t="s">
        <v>25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 t="s">
        <v>25</v>
      </c>
      <c r="D8" s="1"/>
      <c r="E8" s="1"/>
      <c r="F8" s="1"/>
    </row>
    <row r="9" spans="1:6" ht="18" customHeight="1">
      <c r="A9" s="3">
        <v>4</v>
      </c>
      <c r="B9" s="4" t="s">
        <v>10</v>
      </c>
      <c r="C9" s="7" t="s">
        <v>25</v>
      </c>
      <c r="D9" s="1"/>
      <c r="E9" s="1"/>
      <c r="F9" s="1"/>
    </row>
    <row r="10" spans="1:6" ht="37.5">
      <c r="A10" s="3">
        <v>5</v>
      </c>
      <c r="B10" s="4" t="s">
        <v>11</v>
      </c>
      <c r="C10" s="7" t="s">
        <v>25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 t="s">
        <v>25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 t="s">
        <v>25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 t="s">
        <v>25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 t="s">
        <v>25</v>
      </c>
      <c r="D14" s="1"/>
      <c r="E14" s="1"/>
      <c r="F14" s="1"/>
    </row>
    <row r="15" spans="1:6" ht="18.75">
      <c r="A15" s="3">
        <v>10</v>
      </c>
      <c r="B15" s="4" t="s">
        <v>16</v>
      </c>
      <c r="C15" s="7" t="s">
        <v>25</v>
      </c>
      <c r="D15" s="1"/>
      <c r="E15" s="1"/>
      <c r="F15" s="1"/>
    </row>
    <row r="16" spans="1:6" ht="18.75">
      <c r="A16" s="3">
        <v>11</v>
      </c>
      <c r="B16" s="4" t="s">
        <v>17</v>
      </c>
      <c r="C16" s="7" t="s">
        <v>25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 t="s">
        <v>25</v>
      </c>
      <c r="D17" s="1"/>
      <c r="E17" s="1"/>
      <c r="F17" s="1"/>
    </row>
    <row r="18" spans="1:6" ht="18.75">
      <c r="A18" s="3">
        <v>13</v>
      </c>
      <c r="B18" s="4" t="s">
        <v>19</v>
      </c>
      <c r="C18" s="7" t="s">
        <v>25</v>
      </c>
      <c r="D18" s="1"/>
      <c r="E18" s="1"/>
      <c r="F18" s="1"/>
    </row>
    <row r="19" spans="1:6" ht="18.75">
      <c r="A19" s="3">
        <v>14</v>
      </c>
      <c r="B19" s="4" t="s">
        <v>20</v>
      </c>
      <c r="C19" s="7" t="s">
        <v>25</v>
      </c>
      <c r="D19" s="1"/>
      <c r="E19" s="1"/>
      <c r="F19" s="1"/>
    </row>
    <row r="20" spans="1:6" ht="18.75">
      <c r="A20" s="3">
        <v>15</v>
      </c>
      <c r="B20" s="4" t="s">
        <v>21</v>
      </c>
      <c r="C20" s="7" t="s">
        <v>25</v>
      </c>
      <c r="D20" s="1"/>
      <c r="E20" s="1"/>
      <c r="F20" s="1"/>
    </row>
    <row r="21" spans="1:6" ht="18.75">
      <c r="A21" s="3">
        <v>16</v>
      </c>
      <c r="B21" s="4" t="s">
        <v>22</v>
      </c>
      <c r="C21" s="7" t="s">
        <v>25</v>
      </c>
      <c r="D21" s="1"/>
      <c r="E21" s="1"/>
      <c r="F21" s="1"/>
    </row>
    <row r="22" spans="1:6" ht="23.25" customHeight="1">
      <c r="A22" s="3">
        <v>17</v>
      </c>
      <c r="B22" s="4" t="s">
        <v>23</v>
      </c>
      <c r="C22" s="7">
        <f>3288</f>
        <v>3288</v>
      </c>
      <c r="D22" s="1"/>
      <c r="E22" s="1"/>
      <c r="F22" s="1"/>
    </row>
    <row r="23" spans="1:6" ht="22.5" customHeight="1">
      <c r="A23" s="3">
        <v>18</v>
      </c>
      <c r="B23" s="4" t="s">
        <v>24</v>
      </c>
      <c r="C23" s="7">
        <f>408</f>
        <v>408</v>
      </c>
      <c r="D23" s="1"/>
      <c r="E23" s="1"/>
      <c r="F23" s="1"/>
    </row>
    <row r="24" spans="1:6" ht="18.75">
      <c r="A24" s="5"/>
      <c r="B24" s="6" t="s">
        <v>6</v>
      </c>
      <c r="C24" s="8">
        <f>SUM(C6:C23)</f>
        <v>6548.8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6">
      <selection activeCell="C24" sqref="C24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4</v>
      </c>
      <c r="B2" s="15"/>
      <c r="C2" s="15"/>
      <c r="D2" s="10"/>
      <c r="E2" s="10"/>
      <c r="F2" s="10"/>
    </row>
    <row r="3" spans="1:6" ht="18.75">
      <c r="A3" s="15" t="s">
        <v>40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38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483.82</f>
        <v>483.82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10</v>
      </c>
      <c r="C9" s="7" t="s">
        <v>25</v>
      </c>
      <c r="D9" s="1"/>
      <c r="E9" s="1"/>
      <c r="F9" s="1"/>
    </row>
    <row r="10" spans="1:6" ht="37.5">
      <c r="A10" s="3">
        <v>5</v>
      </c>
      <c r="B10" s="4" t="s">
        <v>11</v>
      </c>
      <c r="C10" s="7" t="s">
        <v>25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 t="s">
        <v>25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>
        <f>1042</f>
        <v>1042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>
        <v>2515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>
        <f>3746</f>
        <v>3746</v>
      </c>
      <c r="D14" s="1"/>
      <c r="E14" s="1"/>
      <c r="F14" s="1"/>
    </row>
    <row r="15" spans="1:6" ht="18.75">
      <c r="A15" s="3">
        <v>10</v>
      </c>
      <c r="B15" s="4" t="s">
        <v>16</v>
      </c>
      <c r="C15" s="7">
        <f>7741.29</f>
        <v>7741.29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3898</f>
        <v>3898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>
        <f>1317.5</f>
        <v>1317.5</v>
      </c>
      <c r="D17" s="1"/>
      <c r="E17" s="1"/>
      <c r="F17" s="1"/>
    </row>
    <row r="18" spans="1:6" ht="18.75">
      <c r="A18" s="3">
        <v>13</v>
      </c>
      <c r="B18" s="4" t="s">
        <v>19</v>
      </c>
      <c r="C18" s="7">
        <f>3405.59</f>
        <v>3405.59</v>
      </c>
      <c r="D18" s="1"/>
      <c r="E18" s="1"/>
      <c r="F18" s="1"/>
    </row>
    <row r="19" spans="1:6" ht="18.75">
      <c r="A19" s="3">
        <v>14</v>
      </c>
      <c r="B19" s="4" t="s">
        <v>20</v>
      </c>
      <c r="C19" s="7">
        <f>1334.72</f>
        <v>1334.72</v>
      </c>
      <c r="D19" s="1"/>
      <c r="E19" s="1"/>
      <c r="F19" s="1"/>
    </row>
    <row r="20" spans="1:6" ht="18.75">
      <c r="A20" s="3">
        <v>15</v>
      </c>
      <c r="B20" s="4" t="s">
        <v>21</v>
      </c>
      <c r="C20" s="7">
        <f>1334.72</f>
        <v>1334.72</v>
      </c>
      <c r="D20" s="1"/>
      <c r="E20" s="1"/>
      <c r="F20" s="1"/>
    </row>
    <row r="21" spans="1:6" ht="18.75">
      <c r="A21" s="3">
        <v>16</v>
      </c>
      <c r="B21" s="4" t="s">
        <v>22</v>
      </c>
      <c r="C21" s="7">
        <f>1334.72</f>
        <v>1334.72</v>
      </c>
      <c r="D21" s="1"/>
      <c r="E21" s="1"/>
      <c r="F21" s="1"/>
    </row>
    <row r="22" spans="1:6" ht="23.25" customHeight="1">
      <c r="A22" s="3">
        <v>17</v>
      </c>
      <c r="B22" s="4" t="s">
        <v>23</v>
      </c>
      <c r="C22" s="7">
        <f>10847</f>
        <v>10847</v>
      </c>
      <c r="D22" s="1"/>
      <c r="E22" s="1"/>
      <c r="F22" s="1"/>
    </row>
    <row r="23" spans="1:6" ht="22.5" customHeight="1">
      <c r="A23" s="3">
        <v>18</v>
      </c>
      <c r="B23" s="4" t="s">
        <v>24</v>
      </c>
      <c r="C23" s="7">
        <f>1347</f>
        <v>1347</v>
      </c>
      <c r="D23" s="1"/>
      <c r="E23" s="1"/>
      <c r="F23" s="1"/>
    </row>
    <row r="24" spans="1:6" ht="18.75">
      <c r="A24" s="5"/>
      <c r="B24" s="6" t="s">
        <v>6</v>
      </c>
      <c r="C24" s="8">
        <f>SUM(C6:C23)</f>
        <v>44634.16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4</v>
      </c>
      <c r="B2" s="15"/>
      <c r="C2" s="15"/>
      <c r="D2" s="10"/>
      <c r="E2" s="10"/>
      <c r="F2" s="10"/>
    </row>
    <row r="3" spans="1:6" ht="18.75">
      <c r="A3" s="15" t="s">
        <v>42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41</v>
      </c>
      <c r="C6" s="7">
        <f>11411.2</f>
        <v>11411.2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2393.29</f>
        <v>2393.29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>
        <f>2140</f>
        <v>2140</v>
      </c>
      <c r="D8" s="1"/>
      <c r="E8" s="1"/>
      <c r="F8" s="1"/>
    </row>
    <row r="9" spans="1:6" ht="18" customHeight="1">
      <c r="A9" s="3">
        <v>4</v>
      </c>
      <c r="B9" s="4" t="s">
        <v>34</v>
      </c>
      <c r="C9" s="7">
        <f>565</f>
        <v>565</v>
      </c>
      <c r="D9" s="1"/>
      <c r="E9" s="1"/>
      <c r="F9" s="1"/>
    </row>
    <row r="10" spans="1:6" ht="37.5">
      <c r="A10" s="3">
        <v>5</v>
      </c>
      <c r="B10" s="4" t="s">
        <v>11</v>
      </c>
      <c r="C10" s="7">
        <f>353.6</f>
        <v>353.6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>
        <f>1798.04</f>
        <v>1798.04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>
        <f>3101</f>
        <v>3101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 t="s">
        <v>25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>
        <f>20583</f>
        <v>20583</v>
      </c>
      <c r="D14" s="1"/>
      <c r="E14" s="1"/>
      <c r="F14" s="1"/>
    </row>
    <row r="15" spans="1:6" ht="18.75">
      <c r="A15" s="3">
        <v>10</v>
      </c>
      <c r="B15" s="4" t="s">
        <v>16</v>
      </c>
      <c r="C15" s="7">
        <f>3966.9</f>
        <v>3966.9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19057</f>
        <v>19057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>
        <f>8587.53</f>
        <v>8587.53</v>
      </c>
      <c r="D17" s="1"/>
      <c r="E17" s="1"/>
      <c r="F17" s="1"/>
    </row>
    <row r="18" spans="1:6" ht="18.75">
      <c r="A18" s="3">
        <v>13</v>
      </c>
      <c r="B18" s="4" t="s">
        <v>19</v>
      </c>
      <c r="C18" s="7">
        <f>10216.77</f>
        <v>10216.77</v>
      </c>
      <c r="D18" s="1"/>
      <c r="E18" s="1"/>
      <c r="F18" s="1"/>
    </row>
    <row r="19" spans="1:6" ht="18.75">
      <c r="A19" s="3">
        <v>14</v>
      </c>
      <c r="B19" s="4" t="s">
        <v>20</v>
      </c>
      <c r="C19" s="7">
        <f>2669.43</f>
        <v>2669.43</v>
      </c>
      <c r="D19" s="1"/>
      <c r="E19" s="1"/>
      <c r="F19" s="1"/>
    </row>
    <row r="20" spans="1:6" ht="18.75">
      <c r="A20" s="3">
        <v>15</v>
      </c>
      <c r="B20" s="4" t="s">
        <v>21</v>
      </c>
      <c r="C20" s="7">
        <f>2669.43</f>
        <v>2669.43</v>
      </c>
      <c r="D20" s="1"/>
      <c r="E20" s="1"/>
      <c r="F20" s="1"/>
    </row>
    <row r="21" spans="1:6" ht="18.75">
      <c r="A21" s="3">
        <v>16</v>
      </c>
      <c r="B21" s="4" t="s">
        <v>22</v>
      </c>
      <c r="C21" s="7">
        <f>2669.43</f>
        <v>2669.43</v>
      </c>
      <c r="D21" s="1"/>
      <c r="E21" s="1"/>
      <c r="F21" s="1"/>
    </row>
    <row r="22" spans="1:6" ht="23.25" customHeight="1">
      <c r="A22" s="3">
        <v>17</v>
      </c>
      <c r="B22" s="4" t="s">
        <v>23</v>
      </c>
      <c r="C22" s="7">
        <f>53037</f>
        <v>53037</v>
      </c>
      <c r="D22" s="1"/>
      <c r="E22" s="1"/>
      <c r="F22" s="1"/>
    </row>
    <row r="23" spans="1:6" ht="22.5" customHeight="1">
      <c r="A23" s="3">
        <v>18</v>
      </c>
      <c r="B23" s="4" t="s">
        <v>24</v>
      </c>
      <c r="C23" s="7">
        <f>6584</f>
        <v>6584</v>
      </c>
      <c r="D23" s="1"/>
      <c r="E23" s="1"/>
      <c r="F23" s="1"/>
    </row>
    <row r="24" spans="1:6" ht="18.75">
      <c r="A24" s="5"/>
      <c r="B24" s="6" t="s">
        <v>6</v>
      </c>
      <c r="C24" s="8">
        <f>SUM(C6:C23)</f>
        <v>151802.62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4</v>
      </c>
      <c r="B2" s="15"/>
      <c r="C2" s="15"/>
      <c r="D2" s="10"/>
      <c r="E2" s="10"/>
      <c r="F2" s="10"/>
    </row>
    <row r="3" spans="1:6" ht="18.75">
      <c r="A3" s="15" t="s">
        <v>43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41</v>
      </c>
      <c r="C6" s="7">
        <f>11411.2</f>
        <v>11411.2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2485.27</f>
        <v>2485.27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>
        <f>2140</f>
        <v>2140</v>
      </c>
      <c r="D8" s="1"/>
      <c r="E8" s="1"/>
      <c r="F8" s="1"/>
    </row>
    <row r="9" spans="1:6" ht="18" customHeight="1">
      <c r="A9" s="3">
        <v>4</v>
      </c>
      <c r="B9" s="4" t="s">
        <v>32</v>
      </c>
      <c r="C9" s="7">
        <f>113</f>
        <v>113</v>
      </c>
      <c r="D9" s="1"/>
      <c r="E9" s="1"/>
      <c r="F9" s="1"/>
    </row>
    <row r="10" spans="1:6" ht="37.5">
      <c r="A10" s="3">
        <v>5</v>
      </c>
      <c r="B10" s="4" t="s">
        <v>11</v>
      </c>
      <c r="C10" s="7">
        <f>353.6</f>
        <v>353.6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>
        <f>1798.04</f>
        <v>1798.04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>
        <f>7296</f>
        <v>7296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>
        <f>1124</f>
        <v>1124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>
        <f>7045</f>
        <v>7045</v>
      </c>
      <c r="D14" s="1"/>
      <c r="E14" s="1"/>
      <c r="F14" s="1"/>
    </row>
    <row r="15" spans="1:6" ht="18.75">
      <c r="A15" s="3">
        <v>10</v>
      </c>
      <c r="B15" s="4" t="s">
        <v>16</v>
      </c>
      <c r="C15" s="7">
        <f>4364.45</f>
        <v>4364.45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19192</f>
        <v>19192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>
        <f>8587.53</f>
        <v>8587.53</v>
      </c>
      <c r="D17" s="1"/>
      <c r="E17" s="1"/>
      <c r="F17" s="1"/>
    </row>
    <row r="18" spans="1:6" ht="40.5" customHeight="1">
      <c r="A18" s="3">
        <v>13</v>
      </c>
      <c r="B18" s="4" t="s">
        <v>39</v>
      </c>
      <c r="C18" s="7">
        <f>14718.45</f>
        <v>14718.45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10216.77</f>
        <v>10216.77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f>4004.15</f>
        <v>4004.15</v>
      </c>
      <c r="D20" s="1"/>
      <c r="E20" s="1"/>
      <c r="F20" s="1"/>
    </row>
    <row r="21" spans="1:6" ht="18.75">
      <c r="A21" s="3">
        <v>16</v>
      </c>
      <c r="B21" s="4" t="s">
        <v>21</v>
      </c>
      <c r="C21" s="7">
        <f>2669.43</f>
        <v>2669.43</v>
      </c>
      <c r="D21" s="1"/>
      <c r="E21" s="1"/>
      <c r="F21" s="1"/>
    </row>
    <row r="22" spans="1:6" ht="18.75">
      <c r="A22" s="3">
        <v>17</v>
      </c>
      <c r="B22" s="4" t="s">
        <v>22</v>
      </c>
      <c r="C22" s="7">
        <f>2669.43</f>
        <v>2669.43</v>
      </c>
      <c r="D22" s="1"/>
      <c r="E22" s="1"/>
      <c r="F22" s="1"/>
    </row>
    <row r="23" spans="1:6" ht="23.25" customHeight="1">
      <c r="A23" s="3">
        <v>18</v>
      </c>
      <c r="B23" s="4" t="s">
        <v>23</v>
      </c>
      <c r="C23" s="7">
        <f>53412</f>
        <v>53412</v>
      </c>
      <c r="D23" s="1"/>
      <c r="E23" s="1"/>
      <c r="F23" s="1"/>
    </row>
    <row r="24" spans="1:6" ht="22.5" customHeight="1">
      <c r="A24" s="3">
        <v>19</v>
      </c>
      <c r="B24" s="4" t="s">
        <v>24</v>
      </c>
      <c r="C24" s="7">
        <f>6631</f>
        <v>6631</v>
      </c>
      <c r="D24" s="1"/>
      <c r="E24" s="1"/>
      <c r="F24" s="1"/>
    </row>
    <row r="25" spans="1:6" ht="18.75">
      <c r="A25" s="5"/>
      <c r="B25" s="6" t="s">
        <v>6</v>
      </c>
      <c r="C25" s="8">
        <f>SUM(C6:C24)</f>
        <v>160231.31999999998</v>
      </c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  <row r="36" spans="1:6" ht="18.75">
      <c r="A36" s="1"/>
      <c r="B36" s="1"/>
      <c r="C36" s="1"/>
      <c r="D36" s="1"/>
      <c r="E36" s="1"/>
      <c r="F36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4">
      <selection activeCell="A3" sqref="A3:C3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4</v>
      </c>
      <c r="B2" s="15"/>
      <c r="C2" s="15"/>
      <c r="D2" s="10"/>
      <c r="E2" s="10"/>
      <c r="F2" s="10"/>
    </row>
    <row r="3" spans="1:6" ht="18.75">
      <c r="A3" s="15" t="s">
        <v>44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41</v>
      </c>
      <c r="C6" s="7">
        <f>11411.2</f>
        <v>11411.2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2443.9</f>
        <v>2443.9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>
        <f>2140</f>
        <v>2140</v>
      </c>
      <c r="D8" s="1"/>
      <c r="E8" s="1"/>
      <c r="F8" s="1"/>
    </row>
    <row r="9" spans="1:6" ht="18" customHeight="1">
      <c r="A9" s="3">
        <v>4</v>
      </c>
      <c r="B9" s="4" t="s">
        <v>10</v>
      </c>
      <c r="C9" s="7" t="s">
        <v>25</v>
      </c>
      <c r="D9" s="1"/>
      <c r="E9" s="1"/>
      <c r="F9" s="1"/>
    </row>
    <row r="10" spans="1:6" ht="37.5">
      <c r="A10" s="3">
        <v>5</v>
      </c>
      <c r="B10" s="4" t="s">
        <v>11</v>
      </c>
      <c r="C10" s="7">
        <f>353.6</f>
        <v>353.6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>
        <f>1798.04</f>
        <v>1798.04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>
        <f>3578</f>
        <v>3578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>
        <f>121</f>
        <v>121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>
        <f>6152</f>
        <v>6152</v>
      </c>
      <c r="D14" s="1"/>
      <c r="E14" s="1"/>
      <c r="F14" s="1"/>
    </row>
    <row r="15" spans="1:6" ht="18.75">
      <c r="A15" s="3">
        <v>10</v>
      </c>
      <c r="B15" s="4" t="s">
        <v>16</v>
      </c>
      <c r="C15" s="7">
        <f>1732.17</f>
        <v>1732.17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19378</f>
        <v>19378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>
        <f>8587.53</f>
        <v>8587.53</v>
      </c>
      <c r="D17" s="1"/>
      <c r="E17" s="1"/>
      <c r="F17" s="1"/>
    </row>
    <row r="18" spans="1:6" ht="40.5" customHeight="1">
      <c r="A18" s="3">
        <v>13</v>
      </c>
      <c r="B18" s="4" t="s">
        <v>39</v>
      </c>
      <c r="C18" s="7">
        <f>14718.45</f>
        <v>14718.45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10216.77</f>
        <v>10216.77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f>4004.15</f>
        <v>4004.15</v>
      </c>
      <c r="D20" s="1"/>
      <c r="E20" s="1"/>
      <c r="F20" s="1"/>
    </row>
    <row r="21" spans="1:6" ht="18.75">
      <c r="A21" s="3">
        <v>16</v>
      </c>
      <c r="B21" s="4" t="s">
        <v>21</v>
      </c>
      <c r="C21" s="7">
        <f>2669.43</f>
        <v>2669.43</v>
      </c>
      <c r="D21" s="1"/>
      <c r="E21" s="1"/>
      <c r="F21" s="1"/>
    </row>
    <row r="22" spans="1:6" ht="18.75">
      <c r="A22" s="3">
        <v>17</v>
      </c>
      <c r="B22" s="4" t="s">
        <v>22</v>
      </c>
      <c r="C22" s="7">
        <f>2669.43</f>
        <v>2669.43</v>
      </c>
      <c r="D22" s="1"/>
      <c r="E22" s="1"/>
      <c r="F22" s="1"/>
    </row>
    <row r="23" spans="1:6" ht="23.25" customHeight="1">
      <c r="A23" s="3">
        <v>18</v>
      </c>
      <c r="B23" s="4" t="s">
        <v>23</v>
      </c>
      <c r="C23" s="7">
        <f>53931</f>
        <v>53931</v>
      </c>
      <c r="D23" s="1"/>
      <c r="E23" s="1"/>
      <c r="F23" s="1"/>
    </row>
    <row r="24" spans="1:6" ht="22.5" customHeight="1">
      <c r="A24" s="3">
        <v>19</v>
      </c>
      <c r="B24" s="4" t="s">
        <v>24</v>
      </c>
      <c r="C24" s="7">
        <f>6695</f>
        <v>6695</v>
      </c>
      <c r="D24" s="1"/>
      <c r="E24" s="1"/>
      <c r="F24" s="1"/>
    </row>
    <row r="25" spans="1:6" ht="18.75">
      <c r="A25" s="5"/>
      <c r="B25" s="6" t="s">
        <v>6</v>
      </c>
      <c r="C25" s="8">
        <f>SUM(C6:C24)</f>
        <v>152599.66999999998</v>
      </c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  <row r="36" spans="1:6" ht="18.75">
      <c r="A36" s="1"/>
      <c r="B36" s="1"/>
      <c r="C36" s="1"/>
      <c r="D36" s="1"/>
      <c r="E36" s="1"/>
      <c r="F36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C24" sqref="C24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4</v>
      </c>
      <c r="B2" s="15"/>
      <c r="C2" s="15"/>
      <c r="D2" s="10"/>
      <c r="E2" s="10"/>
      <c r="F2" s="10"/>
    </row>
    <row r="3" spans="1:6" ht="18.75">
      <c r="A3" s="15" t="s">
        <v>45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38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386.59</f>
        <v>386.59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46</v>
      </c>
      <c r="C9" s="7">
        <f>113</f>
        <v>113</v>
      </c>
      <c r="D9" s="1"/>
      <c r="E9" s="1"/>
      <c r="F9" s="1"/>
    </row>
    <row r="10" spans="1:6" ht="37.5">
      <c r="A10" s="3">
        <v>5</v>
      </c>
      <c r="B10" s="4" t="s">
        <v>11</v>
      </c>
      <c r="C10" s="7" t="s">
        <v>25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 t="s">
        <v>25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 t="s">
        <v>25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 t="s">
        <v>25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>
        <f>5155</f>
        <v>5155</v>
      </c>
      <c r="D14" s="1"/>
      <c r="E14" s="1"/>
      <c r="F14" s="1"/>
    </row>
    <row r="15" spans="1:6" ht="18.75">
      <c r="A15" s="3">
        <v>10</v>
      </c>
      <c r="B15" s="4" t="s">
        <v>16</v>
      </c>
      <c r="C15" s="7">
        <f>1455.55</f>
        <v>1455.55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2963</f>
        <v>2963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>
        <v>1317.5</v>
      </c>
      <c r="D17" s="1"/>
      <c r="E17" s="1"/>
      <c r="F17" s="1"/>
    </row>
    <row r="18" spans="1:6" ht="18.75">
      <c r="A18" s="3">
        <v>13</v>
      </c>
      <c r="B18" s="4" t="s">
        <v>19</v>
      </c>
      <c r="C18" s="7">
        <f>3405.59</f>
        <v>3405.59</v>
      </c>
      <c r="D18" s="1"/>
      <c r="E18" s="1"/>
      <c r="F18" s="1"/>
    </row>
    <row r="19" spans="1:6" ht="18.75">
      <c r="A19" s="3">
        <v>14</v>
      </c>
      <c r="B19" s="4" t="s">
        <v>20</v>
      </c>
      <c r="C19" s="7">
        <f>1334.72</f>
        <v>1334.72</v>
      </c>
      <c r="D19" s="1"/>
      <c r="E19" s="1"/>
      <c r="F19" s="1"/>
    </row>
    <row r="20" spans="1:6" ht="18.75">
      <c r="A20" s="3">
        <v>15</v>
      </c>
      <c r="B20" s="4" t="s">
        <v>21</v>
      </c>
      <c r="C20" s="7">
        <f>1334.72</f>
        <v>1334.72</v>
      </c>
      <c r="D20" s="1"/>
      <c r="E20" s="1"/>
      <c r="F20" s="1"/>
    </row>
    <row r="21" spans="1:6" ht="18.75">
      <c r="A21" s="3">
        <v>16</v>
      </c>
      <c r="B21" s="4" t="s">
        <v>22</v>
      </c>
      <c r="C21" s="7">
        <f>1334.72</f>
        <v>1334.72</v>
      </c>
      <c r="D21" s="1"/>
      <c r="E21" s="1"/>
      <c r="F21" s="1"/>
    </row>
    <row r="22" spans="1:6" ht="23.25" customHeight="1">
      <c r="A22" s="3">
        <v>17</v>
      </c>
      <c r="B22" s="4" t="s">
        <v>23</v>
      </c>
      <c r="C22" s="7">
        <f>8246</f>
        <v>8246</v>
      </c>
      <c r="D22" s="1"/>
      <c r="E22" s="1"/>
      <c r="F22" s="1"/>
    </row>
    <row r="23" spans="1:6" ht="22.5" customHeight="1">
      <c r="A23" s="3">
        <v>18</v>
      </c>
      <c r="B23" s="4" t="s">
        <v>24</v>
      </c>
      <c r="C23" s="7">
        <f>1024</f>
        <v>1024</v>
      </c>
      <c r="D23" s="1"/>
      <c r="E23" s="1"/>
      <c r="F23" s="1"/>
    </row>
    <row r="24" spans="1:6" ht="18.75">
      <c r="A24" s="5"/>
      <c r="B24" s="6" t="s">
        <v>6</v>
      </c>
      <c r="C24" s="8">
        <f>SUM(C6:C23)</f>
        <v>32357.190000000002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C24" sqref="C24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4</v>
      </c>
      <c r="B2" s="15"/>
      <c r="C2" s="15"/>
      <c r="D2" s="10"/>
      <c r="E2" s="10"/>
      <c r="F2" s="10"/>
    </row>
    <row r="3" spans="1:6" ht="18.75">
      <c r="A3" s="15" t="s">
        <v>47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38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398.57</f>
        <v>398.57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 t="s">
        <v>25</v>
      </c>
      <c r="D8" s="1"/>
      <c r="E8" s="1"/>
      <c r="F8" s="1"/>
    </row>
    <row r="9" spans="1:6" ht="18" customHeight="1">
      <c r="A9" s="3">
        <v>4</v>
      </c>
      <c r="B9" s="4" t="s">
        <v>10</v>
      </c>
      <c r="C9" s="7" t="s">
        <v>25</v>
      </c>
      <c r="D9" s="1"/>
      <c r="E9" s="1"/>
      <c r="F9" s="1"/>
    </row>
    <row r="10" spans="1:6" ht="37.5">
      <c r="A10" s="3">
        <v>5</v>
      </c>
      <c r="B10" s="4" t="s">
        <v>11</v>
      </c>
      <c r="C10" s="7" t="s">
        <v>25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 t="s">
        <v>25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 t="s">
        <v>25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 t="s">
        <v>25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>
        <f>2434</f>
        <v>2434</v>
      </c>
      <c r="D14" s="1"/>
      <c r="E14" s="1"/>
      <c r="F14" s="1"/>
    </row>
    <row r="15" spans="1:6" ht="18.75">
      <c r="A15" s="3">
        <v>10</v>
      </c>
      <c r="B15" s="4" t="s">
        <v>16</v>
      </c>
      <c r="C15" s="7" t="s">
        <v>25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3115</f>
        <v>3115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 t="s">
        <v>25</v>
      </c>
      <c r="D17" s="1"/>
      <c r="E17" s="1"/>
      <c r="F17" s="1"/>
    </row>
    <row r="18" spans="1:6" ht="18.75">
      <c r="A18" s="3">
        <v>13</v>
      </c>
      <c r="B18" s="4" t="s">
        <v>19</v>
      </c>
      <c r="C18" s="7">
        <f>3405.59</f>
        <v>3405.59</v>
      </c>
      <c r="D18" s="1"/>
      <c r="E18" s="1"/>
      <c r="F18" s="1"/>
    </row>
    <row r="19" spans="1:6" ht="18.75">
      <c r="A19" s="3">
        <v>14</v>
      </c>
      <c r="B19" s="4" t="s">
        <v>20</v>
      </c>
      <c r="C19" s="7">
        <f>1334.72</f>
        <v>1334.72</v>
      </c>
      <c r="D19" s="1"/>
      <c r="E19" s="1"/>
      <c r="F19" s="1"/>
    </row>
    <row r="20" spans="1:6" ht="18.75">
      <c r="A20" s="3">
        <v>15</v>
      </c>
      <c r="B20" s="4" t="s">
        <v>21</v>
      </c>
      <c r="C20" s="7">
        <f>1334.72</f>
        <v>1334.72</v>
      </c>
      <c r="D20" s="1"/>
      <c r="E20" s="1"/>
      <c r="F20" s="1"/>
    </row>
    <row r="21" spans="1:6" ht="18.75">
      <c r="A21" s="3">
        <v>16</v>
      </c>
      <c r="B21" s="4" t="s">
        <v>22</v>
      </c>
      <c r="C21" s="7">
        <f>1334.72</f>
        <v>1334.72</v>
      </c>
      <c r="D21" s="1"/>
      <c r="E21" s="1"/>
      <c r="F21" s="1"/>
    </row>
    <row r="22" spans="1:6" ht="23.25" customHeight="1">
      <c r="A22" s="3">
        <v>17</v>
      </c>
      <c r="B22" s="4" t="s">
        <v>23</v>
      </c>
      <c r="C22" s="7">
        <f>8670</f>
        <v>8670</v>
      </c>
      <c r="D22" s="1"/>
      <c r="E22" s="1"/>
      <c r="F22" s="1"/>
    </row>
    <row r="23" spans="1:6" ht="22.5" customHeight="1">
      <c r="A23" s="3">
        <v>18</v>
      </c>
      <c r="B23" s="4" t="s">
        <v>24</v>
      </c>
      <c r="C23" s="7">
        <f>1076</f>
        <v>1076</v>
      </c>
      <c r="D23" s="1"/>
      <c r="E23" s="1"/>
      <c r="F23" s="1"/>
    </row>
    <row r="24" spans="1:6" ht="18.75">
      <c r="A24" s="5"/>
      <c r="B24" s="6" t="s">
        <v>6</v>
      </c>
      <c r="C24" s="8">
        <f>SUM(C6:C23)</f>
        <v>25956.12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C24" sqref="C24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4</v>
      </c>
      <c r="B2" s="15"/>
      <c r="C2" s="15"/>
      <c r="D2" s="10"/>
      <c r="E2" s="10"/>
      <c r="F2" s="10"/>
    </row>
    <row r="3" spans="1:6" ht="18.75">
      <c r="A3" s="15" t="s">
        <v>48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38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403.61</f>
        <v>403.61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 t="s">
        <v>25</v>
      </c>
      <c r="D8" s="1"/>
      <c r="E8" s="1"/>
      <c r="F8" s="1"/>
    </row>
    <row r="9" spans="1:6" ht="18" customHeight="1">
      <c r="A9" s="3">
        <v>4</v>
      </c>
      <c r="B9" s="4" t="s">
        <v>69</v>
      </c>
      <c r="C9" s="7" t="s">
        <v>25</v>
      </c>
      <c r="D9" s="1"/>
      <c r="E9" s="1"/>
      <c r="F9" s="1"/>
    </row>
    <row r="10" spans="1:6" ht="37.5">
      <c r="A10" s="3">
        <v>5</v>
      </c>
      <c r="B10" s="4" t="s">
        <v>11</v>
      </c>
      <c r="C10" s="7" t="s">
        <v>25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 t="s">
        <v>25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 t="s">
        <v>25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>
        <f>576</f>
        <v>576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 t="s">
        <v>25</v>
      </c>
      <c r="D14" s="1"/>
      <c r="E14" s="1"/>
      <c r="F14" s="1"/>
    </row>
    <row r="15" spans="1:6" ht="18.75">
      <c r="A15" s="3">
        <v>10</v>
      </c>
      <c r="B15" s="4" t="s">
        <v>16</v>
      </c>
      <c r="C15" s="7">
        <f>3488.62</f>
        <v>3488.62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2029</f>
        <v>2029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 t="s">
        <v>25</v>
      </c>
      <c r="D17" s="1"/>
      <c r="E17" s="1"/>
      <c r="F17" s="1"/>
    </row>
    <row r="18" spans="1:6" ht="18.75">
      <c r="A18" s="3">
        <v>13</v>
      </c>
      <c r="B18" s="4" t="s">
        <v>19</v>
      </c>
      <c r="C18" s="7">
        <f>3405.59</f>
        <v>3405.59</v>
      </c>
      <c r="D18" s="1"/>
      <c r="E18" s="1"/>
      <c r="F18" s="1"/>
    </row>
    <row r="19" spans="1:6" ht="18.75">
      <c r="A19" s="3">
        <v>14</v>
      </c>
      <c r="B19" s="4" t="s">
        <v>20</v>
      </c>
      <c r="C19" s="7">
        <f>1334.72</f>
        <v>1334.72</v>
      </c>
      <c r="D19" s="1"/>
      <c r="E19" s="1"/>
      <c r="F19" s="1"/>
    </row>
    <row r="20" spans="1:6" ht="18.75">
      <c r="A20" s="3">
        <v>15</v>
      </c>
      <c r="B20" s="4" t="s">
        <v>21</v>
      </c>
      <c r="C20" s="7">
        <f>1334.72</f>
        <v>1334.72</v>
      </c>
      <c r="D20" s="1"/>
      <c r="E20" s="1"/>
      <c r="F20" s="1"/>
    </row>
    <row r="21" spans="1:6" ht="18.75">
      <c r="A21" s="3">
        <v>16</v>
      </c>
      <c r="B21" s="4" t="s">
        <v>22</v>
      </c>
      <c r="C21" s="7">
        <f>1334.72</f>
        <v>1334.72</v>
      </c>
      <c r="D21" s="1"/>
      <c r="E21" s="1"/>
      <c r="F21" s="1"/>
    </row>
    <row r="22" spans="1:6" ht="23.25" customHeight="1">
      <c r="A22" s="3">
        <v>17</v>
      </c>
      <c r="B22" s="4" t="s">
        <v>23</v>
      </c>
      <c r="C22" s="7">
        <f>8701</f>
        <v>8701</v>
      </c>
      <c r="D22" s="1"/>
      <c r="E22" s="1"/>
      <c r="F22" s="1"/>
    </row>
    <row r="23" spans="1:6" ht="22.5" customHeight="1">
      <c r="A23" s="3">
        <v>18</v>
      </c>
      <c r="B23" s="4" t="s">
        <v>24</v>
      </c>
      <c r="C23" s="7">
        <f>1131</f>
        <v>1131</v>
      </c>
      <c r="D23" s="1"/>
      <c r="E23" s="1"/>
      <c r="F23" s="1"/>
    </row>
    <row r="24" spans="1:6" ht="18.75">
      <c r="A24" s="5"/>
      <c r="B24" s="6" t="s">
        <v>6</v>
      </c>
      <c r="C24" s="8">
        <f>SUM(C6:C23)</f>
        <v>26591.78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C24" sqref="C24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4</v>
      </c>
      <c r="B2" s="15"/>
      <c r="C2" s="15"/>
      <c r="D2" s="10"/>
      <c r="E2" s="10"/>
      <c r="F2" s="10"/>
    </row>
    <row r="3" spans="1:6" ht="18.75">
      <c r="A3" s="15" t="s">
        <v>49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38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402.77</f>
        <v>402.77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 t="s">
        <v>25</v>
      </c>
      <c r="D8" s="1"/>
      <c r="E8" s="1"/>
      <c r="F8" s="1"/>
    </row>
    <row r="9" spans="1:6" ht="18" customHeight="1">
      <c r="A9" s="3">
        <v>4</v>
      </c>
      <c r="B9" s="4" t="s">
        <v>32</v>
      </c>
      <c r="C9" s="7">
        <f>113</f>
        <v>113</v>
      </c>
      <c r="D9" s="1"/>
      <c r="E9" s="1"/>
      <c r="F9" s="1"/>
    </row>
    <row r="10" spans="1:6" ht="37.5">
      <c r="A10" s="3">
        <v>5</v>
      </c>
      <c r="B10" s="4" t="s">
        <v>11</v>
      </c>
      <c r="C10" s="7" t="s">
        <v>25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 t="s">
        <v>25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 t="s">
        <v>25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 t="s">
        <v>25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>
        <f>31</f>
        <v>31</v>
      </c>
      <c r="D14" s="1"/>
      <c r="E14" s="1"/>
      <c r="F14" s="1"/>
    </row>
    <row r="15" spans="1:6" ht="18.75">
      <c r="A15" s="3">
        <v>10</v>
      </c>
      <c r="B15" s="4" t="s">
        <v>16</v>
      </c>
      <c r="C15" s="7">
        <f>15.99</f>
        <v>15.99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3041</f>
        <v>3041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 t="s">
        <v>25</v>
      </c>
      <c r="D17" s="1"/>
      <c r="E17" s="1"/>
      <c r="F17" s="1"/>
    </row>
    <row r="18" spans="1:6" ht="18.75">
      <c r="A18" s="3">
        <v>13</v>
      </c>
      <c r="B18" s="4" t="s">
        <v>19</v>
      </c>
      <c r="C18" s="7">
        <f>3405.59</f>
        <v>3405.59</v>
      </c>
      <c r="D18" s="1"/>
      <c r="E18" s="1"/>
      <c r="F18" s="1"/>
    </row>
    <row r="19" spans="1:6" ht="18.75">
      <c r="A19" s="3">
        <v>14</v>
      </c>
      <c r="B19" s="4" t="s">
        <v>20</v>
      </c>
      <c r="C19" s="7">
        <f>1334.72</f>
        <v>1334.72</v>
      </c>
      <c r="D19" s="1"/>
      <c r="E19" s="1"/>
      <c r="F19" s="1"/>
    </row>
    <row r="20" spans="1:6" ht="18.75">
      <c r="A20" s="3">
        <v>15</v>
      </c>
      <c r="B20" s="4" t="s">
        <v>21</v>
      </c>
      <c r="C20" s="7">
        <f>1334.72</f>
        <v>1334.72</v>
      </c>
      <c r="D20" s="1"/>
      <c r="E20" s="1"/>
      <c r="F20" s="1"/>
    </row>
    <row r="21" spans="1:6" ht="18.75">
      <c r="A21" s="3">
        <v>16</v>
      </c>
      <c r="B21" s="4" t="s">
        <v>22</v>
      </c>
      <c r="C21" s="7">
        <f>1334.72</f>
        <v>1334.72</v>
      </c>
      <c r="D21" s="1"/>
      <c r="E21" s="1"/>
      <c r="F21" s="1"/>
    </row>
    <row r="22" spans="1:6" ht="23.25" customHeight="1">
      <c r="A22" s="3">
        <v>17</v>
      </c>
      <c r="B22" s="4" t="s">
        <v>23</v>
      </c>
      <c r="C22" s="7">
        <f>8462</f>
        <v>8462</v>
      </c>
      <c r="D22" s="1"/>
      <c r="E22" s="1"/>
      <c r="F22" s="1"/>
    </row>
    <row r="23" spans="1:6" ht="22.5" customHeight="1">
      <c r="A23" s="3">
        <v>18</v>
      </c>
      <c r="B23" s="4" t="s">
        <v>24</v>
      </c>
      <c r="C23" s="7">
        <f>1031</f>
        <v>1031</v>
      </c>
      <c r="D23" s="1"/>
      <c r="E23" s="1"/>
      <c r="F23" s="1"/>
    </row>
    <row r="24" spans="1:6" ht="18.75">
      <c r="A24" s="5"/>
      <c r="B24" s="6" t="s">
        <v>6</v>
      </c>
      <c r="C24" s="8">
        <f>SUM(C6:C23)</f>
        <v>23359.309999999998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C24" sqref="C24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4</v>
      </c>
      <c r="B2" s="15"/>
      <c r="C2" s="15"/>
      <c r="D2" s="10"/>
      <c r="E2" s="10"/>
      <c r="F2" s="10"/>
    </row>
    <row r="3" spans="1:6" ht="18.75">
      <c r="A3" s="15" t="s">
        <v>50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38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404.87</f>
        <v>404.87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 t="s">
        <v>25</v>
      </c>
      <c r="D8" s="1"/>
      <c r="E8" s="1"/>
      <c r="F8" s="1"/>
    </row>
    <row r="9" spans="1:6" ht="18" customHeight="1">
      <c r="A9" s="3">
        <v>4</v>
      </c>
      <c r="B9" s="4" t="s">
        <v>69</v>
      </c>
      <c r="C9" s="7" t="s">
        <v>25</v>
      </c>
      <c r="D9" s="1"/>
      <c r="E9" s="1"/>
      <c r="F9" s="1"/>
    </row>
    <row r="10" spans="1:6" ht="37.5">
      <c r="A10" s="3">
        <v>5</v>
      </c>
      <c r="B10" s="4" t="s">
        <v>11</v>
      </c>
      <c r="C10" s="7" t="s">
        <v>25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 t="s">
        <v>25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 t="s">
        <v>25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 t="s">
        <v>25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 t="s">
        <v>25</v>
      </c>
      <c r="D14" s="1"/>
      <c r="E14" s="1"/>
      <c r="F14" s="1"/>
    </row>
    <row r="15" spans="1:6" ht="18.75">
      <c r="A15" s="3">
        <v>10</v>
      </c>
      <c r="B15" s="4" t="s">
        <v>16</v>
      </c>
      <c r="C15" s="7" t="s">
        <v>25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3017</f>
        <v>3017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 t="s">
        <v>25</v>
      </c>
      <c r="D17" s="1"/>
      <c r="E17" s="1"/>
      <c r="F17" s="1"/>
    </row>
    <row r="18" spans="1:6" ht="18.75">
      <c r="A18" s="3">
        <v>13</v>
      </c>
      <c r="B18" s="4" t="s">
        <v>19</v>
      </c>
      <c r="C18" s="7">
        <f>3405.59</f>
        <v>3405.59</v>
      </c>
      <c r="D18" s="1"/>
      <c r="E18" s="1"/>
      <c r="F18" s="1"/>
    </row>
    <row r="19" spans="1:6" ht="18.75">
      <c r="A19" s="3">
        <v>14</v>
      </c>
      <c r="B19" s="4" t="s">
        <v>20</v>
      </c>
      <c r="C19" s="7">
        <f>1334.72</f>
        <v>1334.72</v>
      </c>
      <c r="D19" s="1"/>
      <c r="E19" s="1"/>
      <c r="F19" s="1"/>
    </row>
    <row r="20" spans="1:6" ht="18.75">
      <c r="A20" s="3">
        <v>15</v>
      </c>
      <c r="B20" s="4" t="s">
        <v>21</v>
      </c>
      <c r="C20" s="7">
        <f>1334.72</f>
        <v>1334.72</v>
      </c>
      <c r="D20" s="1"/>
      <c r="E20" s="1"/>
      <c r="F20" s="1"/>
    </row>
    <row r="21" spans="1:6" ht="18.75">
      <c r="A21" s="3">
        <v>16</v>
      </c>
      <c r="B21" s="4" t="s">
        <v>22</v>
      </c>
      <c r="C21" s="7">
        <f>1334.72</f>
        <v>1334.72</v>
      </c>
      <c r="D21" s="1"/>
      <c r="E21" s="1"/>
      <c r="F21" s="1"/>
    </row>
    <row r="22" spans="1:6" ht="23.25" customHeight="1">
      <c r="A22" s="3">
        <v>17</v>
      </c>
      <c r="B22" s="4" t="s">
        <v>23</v>
      </c>
      <c r="C22" s="7">
        <f>8463</f>
        <v>8463</v>
      </c>
      <c r="D22" s="1"/>
      <c r="E22" s="1"/>
      <c r="F22" s="1"/>
    </row>
    <row r="23" spans="1:6" ht="22.5" customHeight="1">
      <c r="A23" s="3">
        <v>18</v>
      </c>
      <c r="B23" s="4" t="s">
        <v>24</v>
      </c>
      <c r="C23" s="7">
        <f>1051</f>
        <v>1051</v>
      </c>
      <c r="D23" s="1"/>
      <c r="E23" s="1"/>
      <c r="F23" s="1"/>
    </row>
    <row r="24" spans="1:6" ht="18.75">
      <c r="A24" s="5"/>
      <c r="B24" s="6" t="s">
        <v>6</v>
      </c>
      <c r="C24" s="8">
        <f>SUM(C6:C23)</f>
        <v>23198.42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1">
      <selection activeCell="C24" sqref="C24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4</v>
      </c>
      <c r="B2" s="15"/>
      <c r="C2" s="15"/>
      <c r="D2" s="10"/>
      <c r="E2" s="10"/>
      <c r="F2" s="10"/>
    </row>
    <row r="3" spans="1:6" ht="18.75">
      <c r="A3" s="15" t="s">
        <v>51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28</v>
      </c>
      <c r="C6" s="7">
        <f>11411.2</f>
        <v>11411.2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1344.59</f>
        <v>1344.59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52</v>
      </c>
      <c r="C9" s="7">
        <f>452</f>
        <v>452</v>
      </c>
      <c r="D9" s="1"/>
      <c r="E9" s="1"/>
      <c r="F9" s="1"/>
    </row>
    <row r="10" spans="1:6" ht="37.5">
      <c r="A10" s="3">
        <v>5</v>
      </c>
      <c r="B10" s="4" t="s">
        <v>11</v>
      </c>
      <c r="C10" s="7">
        <f>332.8</f>
        <v>332.8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>
        <f>1798.04</f>
        <v>1798.04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>
        <f>2107</f>
        <v>2107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 t="s">
        <v>25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>
        <f>2625</f>
        <v>2625</v>
      </c>
      <c r="D14" s="1"/>
      <c r="E14" s="1"/>
      <c r="F14" s="1"/>
    </row>
    <row r="15" spans="1:6" ht="18.75">
      <c r="A15" s="3">
        <v>10</v>
      </c>
      <c r="B15" s="4" t="s">
        <v>16</v>
      </c>
      <c r="C15" s="7">
        <f>3215.51</f>
        <v>3215.51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10677</f>
        <v>10677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>
        <f>4446.56</f>
        <v>4446.56</v>
      </c>
      <c r="D17" s="1"/>
      <c r="E17" s="1"/>
      <c r="F17" s="1"/>
    </row>
    <row r="18" spans="1:6" ht="40.5" customHeight="1">
      <c r="A18" s="3">
        <v>13</v>
      </c>
      <c r="B18" s="4" t="s">
        <v>39</v>
      </c>
      <c r="C18" s="7">
        <f>14718.45</f>
        <v>14718.45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6811.18</f>
        <v>6811.18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f>2669.43</f>
        <v>2669.43</v>
      </c>
      <c r="D20" s="1"/>
      <c r="E20" s="1"/>
      <c r="F20" s="1"/>
    </row>
    <row r="21" spans="1:6" ht="18.75">
      <c r="A21" s="3">
        <v>16</v>
      </c>
      <c r="B21" s="4" t="s">
        <v>21</v>
      </c>
      <c r="C21" s="7">
        <f>2669.43</f>
        <v>2669.43</v>
      </c>
      <c r="D21" s="1"/>
      <c r="E21" s="1"/>
      <c r="F21" s="1"/>
    </row>
    <row r="22" spans="1:6" ht="18.75">
      <c r="A22" s="3">
        <v>17</v>
      </c>
      <c r="B22" s="4" t="s">
        <v>22</v>
      </c>
      <c r="C22" s="7">
        <f>2669.43</f>
        <v>2669.43</v>
      </c>
      <c r="D22" s="1"/>
      <c r="E22" s="1"/>
      <c r="F22" s="1"/>
    </row>
    <row r="23" spans="1:6" ht="23.25" customHeight="1">
      <c r="A23" s="3">
        <v>18</v>
      </c>
      <c r="B23" s="4" t="s">
        <v>23</v>
      </c>
      <c r="C23" s="7">
        <f>29715</f>
        <v>29715</v>
      </c>
      <c r="D23" s="1"/>
      <c r="E23" s="1"/>
      <c r="F23" s="1"/>
    </row>
    <row r="24" spans="1:6" ht="22.5" customHeight="1">
      <c r="A24" s="3">
        <v>19</v>
      </c>
      <c r="B24" s="4" t="s">
        <v>24</v>
      </c>
      <c r="C24" s="7">
        <f>3689</f>
        <v>3689</v>
      </c>
      <c r="D24" s="1"/>
      <c r="E24" s="1"/>
      <c r="F24" s="1"/>
    </row>
    <row r="25" spans="1:6" ht="18.75">
      <c r="A25" s="5"/>
      <c r="B25" s="6" t="s">
        <v>6</v>
      </c>
      <c r="C25" s="8">
        <f>SUM(C6:C24)</f>
        <v>102785.61999999998</v>
      </c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  <row r="36" spans="1:6" ht="18.75">
      <c r="A36" s="1"/>
      <c r="B36" s="1"/>
      <c r="C36" s="1"/>
      <c r="D36" s="1"/>
      <c r="E36" s="1"/>
      <c r="F36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9">
      <selection activeCell="C24" sqref="C24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4</v>
      </c>
      <c r="B2" s="15"/>
      <c r="C2" s="15"/>
      <c r="D2" s="10"/>
      <c r="E2" s="10"/>
      <c r="F2" s="10"/>
    </row>
    <row r="3" spans="1:6" ht="18.75">
      <c r="A3" s="15" t="s">
        <v>26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7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 t="s">
        <v>25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 t="s">
        <v>25</v>
      </c>
      <c r="D8" s="1"/>
      <c r="E8" s="1"/>
      <c r="F8" s="1"/>
    </row>
    <row r="9" spans="1:6" ht="18" customHeight="1">
      <c r="A9" s="3">
        <v>4</v>
      </c>
      <c r="B9" s="4" t="s">
        <v>10</v>
      </c>
      <c r="C9" s="7" t="s">
        <v>25</v>
      </c>
      <c r="D9" s="1"/>
      <c r="E9" s="1"/>
      <c r="F9" s="1"/>
    </row>
    <row r="10" spans="1:6" ht="37.5">
      <c r="A10" s="3">
        <v>5</v>
      </c>
      <c r="B10" s="4" t="s">
        <v>11</v>
      </c>
      <c r="C10" s="7" t="s">
        <v>25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 t="s">
        <v>25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 t="s">
        <v>25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>
        <f>100</f>
        <v>100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>
        <f>1720</f>
        <v>1720</v>
      </c>
      <c r="D14" s="1"/>
      <c r="E14" s="1"/>
      <c r="F14" s="1"/>
    </row>
    <row r="15" spans="1:6" ht="18.75">
      <c r="A15" s="3">
        <v>10</v>
      </c>
      <c r="B15" s="4" t="s">
        <v>16</v>
      </c>
      <c r="C15" s="7" t="s">
        <v>25</v>
      </c>
      <c r="D15" s="1"/>
      <c r="E15" s="1"/>
      <c r="F15" s="1"/>
    </row>
    <row r="16" spans="1:6" ht="18.75">
      <c r="A16" s="3">
        <v>11</v>
      </c>
      <c r="B16" s="4" t="s">
        <v>17</v>
      </c>
      <c r="C16" s="7" t="s">
        <v>25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 t="s">
        <v>25</v>
      </c>
      <c r="D17" s="1"/>
      <c r="E17" s="1"/>
      <c r="F17" s="1"/>
    </row>
    <row r="18" spans="1:6" ht="18.75">
      <c r="A18" s="3">
        <v>13</v>
      </c>
      <c r="B18" s="4" t="s">
        <v>19</v>
      </c>
      <c r="C18" s="7" t="s">
        <v>25</v>
      </c>
      <c r="D18" s="1"/>
      <c r="E18" s="1"/>
      <c r="F18" s="1"/>
    </row>
    <row r="19" spans="1:6" ht="18.75">
      <c r="A19" s="3">
        <v>14</v>
      </c>
      <c r="B19" s="4" t="s">
        <v>20</v>
      </c>
      <c r="C19" s="7" t="s">
        <v>25</v>
      </c>
      <c r="D19" s="1"/>
      <c r="E19" s="1"/>
      <c r="F19" s="1"/>
    </row>
    <row r="20" spans="1:6" ht="18.75">
      <c r="A20" s="3">
        <v>15</v>
      </c>
      <c r="B20" s="4" t="s">
        <v>21</v>
      </c>
      <c r="C20" s="7" t="s">
        <v>25</v>
      </c>
      <c r="D20" s="1"/>
      <c r="E20" s="1"/>
      <c r="F20" s="1"/>
    </row>
    <row r="21" spans="1:6" ht="18.75">
      <c r="A21" s="3">
        <v>16</v>
      </c>
      <c r="B21" s="4" t="s">
        <v>22</v>
      </c>
      <c r="C21" s="7" t="s">
        <v>25</v>
      </c>
      <c r="D21" s="1"/>
      <c r="E21" s="1"/>
      <c r="F21" s="1"/>
    </row>
    <row r="22" spans="1:6" ht="23.25" customHeight="1">
      <c r="A22" s="3">
        <v>17</v>
      </c>
      <c r="B22" s="4" t="s">
        <v>23</v>
      </c>
      <c r="C22" s="7">
        <f>12020</f>
        <v>12020</v>
      </c>
      <c r="D22" s="1"/>
      <c r="E22" s="1"/>
      <c r="F22" s="1"/>
    </row>
    <row r="23" spans="1:6" ht="22.5" customHeight="1">
      <c r="A23" s="3">
        <v>18</v>
      </c>
      <c r="B23" s="4" t="s">
        <v>24</v>
      </c>
      <c r="C23" s="7">
        <f>1492</f>
        <v>1492</v>
      </c>
      <c r="D23" s="1"/>
      <c r="E23" s="1"/>
      <c r="F23" s="1"/>
    </row>
    <row r="24" spans="1:6" ht="18.75">
      <c r="A24" s="5"/>
      <c r="B24" s="6" t="s">
        <v>6</v>
      </c>
      <c r="C24" s="8">
        <f>SUM(C6:C23)</f>
        <v>18184.8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1">
      <selection activeCell="C24" sqref="C24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4</v>
      </c>
      <c r="B2" s="15"/>
      <c r="C2" s="15"/>
      <c r="D2" s="10"/>
      <c r="E2" s="10"/>
      <c r="F2" s="10"/>
    </row>
    <row r="3" spans="1:6" ht="18.75">
      <c r="A3" s="15" t="s">
        <v>53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28</v>
      </c>
      <c r="C6" s="7">
        <f>11411.2</f>
        <v>11411.2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1324.43</f>
        <v>1324.43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54</v>
      </c>
      <c r="C9" s="7">
        <f>226</f>
        <v>226</v>
      </c>
      <c r="D9" s="1"/>
      <c r="E9" s="1"/>
      <c r="F9" s="1"/>
    </row>
    <row r="10" spans="1:6" ht="37.5">
      <c r="A10" s="3">
        <v>5</v>
      </c>
      <c r="B10" s="4" t="s">
        <v>11</v>
      </c>
      <c r="C10" s="7">
        <f>332.8</f>
        <v>332.8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>
        <f>1798.04</f>
        <v>1798.04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>
        <f>1789</f>
        <v>1789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 t="s">
        <v>25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>
        <f>4734</f>
        <v>4734</v>
      </c>
      <c r="D14" s="1"/>
      <c r="E14" s="1"/>
      <c r="F14" s="1"/>
    </row>
    <row r="15" spans="1:6" ht="18.75">
      <c r="A15" s="3">
        <v>10</v>
      </c>
      <c r="B15" s="4" t="s">
        <v>16</v>
      </c>
      <c r="C15" s="7">
        <f>4660.69</f>
        <v>4660.69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v>10549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>
        <f>4446.56</f>
        <v>4446.56</v>
      </c>
      <c r="D17" s="1"/>
      <c r="E17" s="1"/>
      <c r="F17" s="1"/>
    </row>
    <row r="18" spans="1:6" ht="40.5" customHeight="1">
      <c r="A18" s="3">
        <v>13</v>
      </c>
      <c r="B18" s="4" t="s">
        <v>39</v>
      </c>
      <c r="C18" s="7">
        <f>14718.45</f>
        <v>14718.45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6811.18</f>
        <v>6811.18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f>2669.43</f>
        <v>2669.43</v>
      </c>
      <c r="D20" s="1"/>
      <c r="E20" s="1"/>
      <c r="F20" s="1"/>
    </row>
    <row r="21" spans="1:6" ht="18.75">
      <c r="A21" s="3">
        <v>16</v>
      </c>
      <c r="B21" s="4" t="s">
        <v>21</v>
      </c>
      <c r="C21" s="7">
        <f>2669.43</f>
        <v>2669.43</v>
      </c>
      <c r="D21" s="1"/>
      <c r="E21" s="1"/>
      <c r="F21" s="1"/>
    </row>
    <row r="22" spans="1:6" ht="18.75">
      <c r="A22" s="3">
        <v>17</v>
      </c>
      <c r="B22" s="4" t="s">
        <v>22</v>
      </c>
      <c r="C22" s="7">
        <f>2669.43</f>
        <v>2669.43</v>
      </c>
      <c r="D22" s="1"/>
      <c r="E22" s="1"/>
      <c r="F22" s="1"/>
    </row>
    <row r="23" spans="1:6" ht="23.25" customHeight="1">
      <c r="A23" s="3">
        <v>18</v>
      </c>
      <c r="B23" s="4" t="s">
        <v>23</v>
      </c>
      <c r="C23" s="7">
        <f>29357</f>
        <v>29357</v>
      </c>
      <c r="D23" s="1"/>
      <c r="E23" s="1"/>
      <c r="F23" s="1"/>
    </row>
    <row r="24" spans="1:6" ht="22.5" customHeight="1">
      <c r="A24" s="3">
        <v>19</v>
      </c>
      <c r="B24" s="4" t="s">
        <v>24</v>
      </c>
      <c r="C24" s="7">
        <f>3644</f>
        <v>3644</v>
      </c>
      <c r="D24" s="1"/>
      <c r="E24" s="1"/>
      <c r="F24" s="1"/>
    </row>
    <row r="25" spans="1:6" ht="18.75">
      <c r="A25" s="5"/>
      <c r="B25" s="6" t="s">
        <v>6</v>
      </c>
      <c r="C25" s="8">
        <f>SUM(C6:C24)</f>
        <v>105244.63999999998</v>
      </c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  <row r="36" spans="1:6" ht="18.75">
      <c r="A36" s="1"/>
      <c r="B36" s="1"/>
      <c r="C36" s="1"/>
      <c r="D36" s="1"/>
      <c r="E36" s="1"/>
      <c r="F36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2">
      <selection activeCell="C26" sqref="C26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4</v>
      </c>
      <c r="B2" s="15"/>
      <c r="C2" s="15"/>
      <c r="D2" s="10"/>
      <c r="E2" s="10"/>
      <c r="F2" s="10"/>
    </row>
    <row r="3" spans="1:6" ht="18.75">
      <c r="A3" s="15" t="s">
        <v>55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28</v>
      </c>
      <c r="C6" s="7">
        <f>11411.2</f>
        <v>11411.2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2062.13</f>
        <v>2062.13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46</v>
      </c>
      <c r="C9" s="7">
        <f>113</f>
        <v>113</v>
      </c>
      <c r="D9" s="1"/>
      <c r="E9" s="1"/>
      <c r="F9" s="1"/>
    </row>
    <row r="10" spans="1:6" ht="37.5">
      <c r="A10" s="3">
        <v>5</v>
      </c>
      <c r="B10" s="4" t="s">
        <v>11</v>
      </c>
      <c r="C10" s="7">
        <f>478.4</f>
        <v>478.4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>
        <f>1798.04</f>
        <v>1798.04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>
        <f>7793</f>
        <v>7793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>
        <f>3244</f>
        <v>3244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>
        <f>3823</f>
        <v>3823</v>
      </c>
      <c r="D14" s="1"/>
      <c r="E14" s="1"/>
      <c r="F14" s="1"/>
    </row>
    <row r="15" spans="1:6" ht="18.75">
      <c r="A15" s="3">
        <v>10</v>
      </c>
      <c r="B15" s="4" t="s">
        <v>16</v>
      </c>
      <c r="C15" s="7">
        <f>6985.09</f>
        <v>6985.09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15280</f>
        <v>15280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>
        <f>4446.56</f>
        <v>4446.56</v>
      </c>
      <c r="D17" s="1"/>
      <c r="E17" s="1"/>
      <c r="F17" s="1"/>
    </row>
    <row r="18" spans="1:6" ht="40.5" customHeight="1">
      <c r="A18" s="3">
        <v>13</v>
      </c>
      <c r="B18" s="4" t="s">
        <v>39</v>
      </c>
      <c r="C18" s="7">
        <f>14718.45</f>
        <v>14718.45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6811.18</f>
        <v>6811.18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f>2669.43</f>
        <v>2669.43</v>
      </c>
      <c r="D20" s="1"/>
      <c r="E20" s="1"/>
      <c r="F20" s="1"/>
    </row>
    <row r="21" spans="1:6" ht="18.75">
      <c r="A21" s="3">
        <v>16</v>
      </c>
      <c r="B21" s="4" t="s">
        <v>21</v>
      </c>
      <c r="C21" s="7">
        <f>2669.43</f>
        <v>2669.43</v>
      </c>
      <c r="D21" s="1"/>
      <c r="E21" s="1"/>
      <c r="F21" s="1"/>
    </row>
    <row r="22" spans="1:6" ht="18.75">
      <c r="A22" s="3">
        <v>17</v>
      </c>
      <c r="B22" s="4" t="s">
        <v>22</v>
      </c>
      <c r="C22" s="7">
        <f>2669.43</f>
        <v>2669.43</v>
      </c>
      <c r="D22" s="1"/>
      <c r="E22" s="1"/>
      <c r="F22" s="1"/>
    </row>
    <row r="23" spans="1:6" ht="23.25" customHeight="1">
      <c r="A23" s="3">
        <v>18</v>
      </c>
      <c r="B23" s="4" t="s">
        <v>23</v>
      </c>
      <c r="C23" s="7">
        <f>42525</f>
        <v>42525</v>
      </c>
      <c r="D23" s="1"/>
      <c r="E23" s="1"/>
      <c r="F23" s="1"/>
    </row>
    <row r="24" spans="1:6" ht="22.5" customHeight="1">
      <c r="A24" s="3">
        <v>19</v>
      </c>
      <c r="B24" s="4" t="s">
        <v>24</v>
      </c>
      <c r="C24" s="7">
        <f>5279</f>
        <v>5279</v>
      </c>
      <c r="D24" s="1"/>
      <c r="E24" s="1"/>
      <c r="F24" s="1"/>
    </row>
    <row r="25" spans="1:6" ht="18.75">
      <c r="A25" s="5"/>
      <c r="B25" s="6" t="s">
        <v>6</v>
      </c>
      <c r="C25" s="8">
        <f>SUM(C6:C24)</f>
        <v>136210.33999999997</v>
      </c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  <row r="36" spans="1:6" ht="18.75">
      <c r="A36" s="1"/>
      <c r="B36" s="1"/>
      <c r="C36" s="1"/>
      <c r="D36" s="1"/>
      <c r="E36" s="1"/>
      <c r="F36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C24" sqref="C24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4</v>
      </c>
      <c r="B2" s="15"/>
      <c r="C2" s="15"/>
      <c r="D2" s="10"/>
      <c r="E2" s="10"/>
      <c r="F2" s="10"/>
    </row>
    <row r="3" spans="1:6" ht="18.75">
      <c r="A3" s="15" t="s">
        <v>56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28</v>
      </c>
      <c r="C6" s="7">
        <f>11411.2</f>
        <v>11411.2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1428.79</f>
        <v>1428.79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69</v>
      </c>
      <c r="C9" s="7" t="s">
        <v>25</v>
      </c>
      <c r="D9" s="1"/>
      <c r="E9" s="1"/>
      <c r="F9" s="1"/>
    </row>
    <row r="10" spans="1:6" ht="37.5">
      <c r="A10" s="3">
        <v>5</v>
      </c>
      <c r="B10" s="4" t="s">
        <v>11</v>
      </c>
      <c r="C10" s="7">
        <f>353.6</f>
        <v>353.6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>
        <f>1798.04</f>
        <v>1798.04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>
        <f>1670</f>
        <v>1670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>
        <f>83</f>
        <v>83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>
        <f>4527.85</f>
        <v>4527.85</v>
      </c>
      <c r="D14" s="1"/>
      <c r="E14" s="1"/>
      <c r="F14" s="1"/>
    </row>
    <row r="15" spans="1:6" ht="18.75">
      <c r="A15" s="3">
        <v>10</v>
      </c>
      <c r="B15" s="4" t="s">
        <v>16</v>
      </c>
      <c r="C15" s="7">
        <f>4417.1</f>
        <v>4417.1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11325</f>
        <v>11325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>
        <f>4446.56</f>
        <v>4446.56</v>
      </c>
      <c r="D17" s="1"/>
      <c r="E17" s="1"/>
      <c r="F17" s="1"/>
    </row>
    <row r="18" spans="1:6" ht="18.75">
      <c r="A18" s="3">
        <v>13</v>
      </c>
      <c r="B18" s="4" t="s">
        <v>19</v>
      </c>
      <c r="C18" s="7">
        <f>6811.18</f>
        <v>6811.18</v>
      </c>
      <c r="D18" s="1"/>
      <c r="E18" s="1"/>
      <c r="F18" s="1"/>
    </row>
    <row r="19" spans="1:6" ht="18.75">
      <c r="A19" s="3">
        <v>14</v>
      </c>
      <c r="B19" s="4" t="s">
        <v>20</v>
      </c>
      <c r="C19" s="7">
        <f>4004.15</f>
        <v>4004.15</v>
      </c>
      <c r="D19" s="1"/>
      <c r="E19" s="1"/>
      <c r="F19" s="1"/>
    </row>
    <row r="20" spans="1:6" ht="18.75">
      <c r="A20" s="3">
        <v>15</v>
      </c>
      <c r="B20" s="4" t="s">
        <v>21</v>
      </c>
      <c r="C20" s="7">
        <f>2669.43</f>
        <v>2669.43</v>
      </c>
      <c r="D20" s="1"/>
      <c r="E20" s="1"/>
      <c r="F20" s="1"/>
    </row>
    <row r="21" spans="1:6" ht="18.75">
      <c r="A21" s="3">
        <v>16</v>
      </c>
      <c r="B21" s="4" t="s">
        <v>22</v>
      </c>
      <c r="C21" s="7">
        <f>2669.43</f>
        <v>2669.43</v>
      </c>
      <c r="D21" s="1"/>
      <c r="E21" s="1"/>
      <c r="F21" s="1"/>
    </row>
    <row r="22" spans="1:6" ht="23.25" customHeight="1">
      <c r="A22" s="3">
        <v>17</v>
      </c>
      <c r="B22" s="4" t="s">
        <v>23</v>
      </c>
      <c r="C22" s="7">
        <f>31519</f>
        <v>31519</v>
      </c>
      <c r="D22" s="1"/>
      <c r="E22" s="1"/>
      <c r="F22" s="1"/>
    </row>
    <row r="23" spans="1:6" ht="22.5" customHeight="1">
      <c r="A23" s="3">
        <v>18</v>
      </c>
      <c r="B23" s="4" t="s">
        <v>24</v>
      </c>
      <c r="C23" s="7">
        <f>3913</f>
        <v>3913</v>
      </c>
      <c r="D23" s="1"/>
      <c r="E23" s="1"/>
      <c r="F23" s="1"/>
    </row>
    <row r="24" spans="1:6" ht="18.75">
      <c r="A24" s="5"/>
      <c r="B24" s="6" t="s">
        <v>6</v>
      </c>
      <c r="C24" s="8">
        <f>SUM(C6:C23)</f>
        <v>94481.33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C24" sqref="C24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4</v>
      </c>
      <c r="B2" s="15"/>
      <c r="C2" s="15"/>
      <c r="D2" s="10"/>
      <c r="E2" s="10"/>
      <c r="F2" s="10"/>
    </row>
    <row r="3" spans="1:6" ht="18.75">
      <c r="A3" s="15" t="s">
        <v>57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31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1543.87</f>
        <v>1543.87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69</v>
      </c>
      <c r="C9" s="7" t="s">
        <v>25</v>
      </c>
      <c r="D9" s="1"/>
      <c r="E9" s="1"/>
      <c r="F9" s="1"/>
    </row>
    <row r="10" spans="1:6" ht="37.5">
      <c r="A10" s="3">
        <v>5</v>
      </c>
      <c r="B10" s="4" t="s">
        <v>11</v>
      </c>
      <c r="C10" s="7">
        <f>436.8</f>
        <v>436.8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>
        <f>1798.04</f>
        <v>1798.04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>
        <f>1336</f>
        <v>1336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 t="s">
        <v>25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>
        <f>2736</f>
        <v>2736</v>
      </c>
      <c r="D14" s="1"/>
      <c r="E14" s="1"/>
      <c r="F14" s="1"/>
    </row>
    <row r="15" spans="1:6" ht="18.75">
      <c r="A15" s="3">
        <v>10</v>
      </c>
      <c r="B15" s="4" t="s">
        <v>16</v>
      </c>
      <c r="C15" s="7">
        <f>561.3</f>
        <v>561.3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14086</f>
        <v>14086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>
        <f>4446.56</f>
        <v>4446.56</v>
      </c>
      <c r="D17" s="1"/>
      <c r="E17" s="1"/>
      <c r="F17" s="1"/>
    </row>
    <row r="18" spans="1:6" ht="18.75">
      <c r="A18" s="3">
        <v>13</v>
      </c>
      <c r="B18" s="4" t="s">
        <v>19</v>
      </c>
      <c r="C18" s="7">
        <f>6811.18</f>
        <v>6811.18</v>
      </c>
      <c r="D18" s="1"/>
      <c r="E18" s="1"/>
      <c r="F18" s="1"/>
    </row>
    <row r="19" spans="1:6" ht="18.75">
      <c r="A19" s="3">
        <v>14</v>
      </c>
      <c r="B19" s="4" t="s">
        <v>20</v>
      </c>
      <c r="C19" s="7">
        <f>4004.15</f>
        <v>4004.15</v>
      </c>
      <c r="D19" s="1"/>
      <c r="E19" s="1"/>
      <c r="F19" s="1"/>
    </row>
    <row r="20" spans="1:6" ht="18.75">
      <c r="A20" s="3">
        <v>15</v>
      </c>
      <c r="B20" s="4" t="s">
        <v>21</v>
      </c>
      <c r="C20" s="7">
        <f>2669.43</f>
        <v>2669.43</v>
      </c>
      <c r="D20" s="1"/>
      <c r="E20" s="1"/>
      <c r="F20" s="1"/>
    </row>
    <row r="21" spans="1:6" ht="18.75">
      <c r="A21" s="3">
        <v>16</v>
      </c>
      <c r="B21" s="4" t="s">
        <v>22</v>
      </c>
      <c r="C21" s="7">
        <f>2669.43</f>
        <v>2669.43</v>
      </c>
      <c r="D21" s="1"/>
      <c r="E21" s="1"/>
      <c r="F21" s="1"/>
    </row>
    <row r="22" spans="1:6" ht="23.25" customHeight="1">
      <c r="A22" s="3">
        <v>17</v>
      </c>
      <c r="B22" s="4" t="s">
        <v>23</v>
      </c>
      <c r="C22" s="7">
        <f>39204</f>
        <v>39204</v>
      </c>
      <c r="D22" s="1"/>
      <c r="E22" s="1"/>
      <c r="F22" s="1"/>
    </row>
    <row r="23" spans="1:6" ht="22.5" customHeight="1">
      <c r="A23" s="3">
        <v>18</v>
      </c>
      <c r="B23" s="4" t="s">
        <v>24</v>
      </c>
      <c r="C23" s="7">
        <f>4867</f>
        <v>4867</v>
      </c>
      <c r="D23" s="1"/>
      <c r="E23" s="1"/>
      <c r="F23" s="1"/>
    </row>
    <row r="24" spans="1:6" ht="18.75">
      <c r="A24" s="5"/>
      <c r="B24" s="6" t="s">
        <v>6</v>
      </c>
      <c r="C24" s="8">
        <f>SUM(C6:C23)</f>
        <v>91456.56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C24" sqref="C24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4</v>
      </c>
      <c r="B2" s="15"/>
      <c r="C2" s="15"/>
      <c r="D2" s="10"/>
      <c r="E2" s="10"/>
      <c r="F2" s="10"/>
    </row>
    <row r="3" spans="1:6" ht="18.75">
      <c r="A3" s="15" t="s">
        <v>70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31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1371.47</f>
        <v>1371.47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69</v>
      </c>
      <c r="C9" s="7" t="s">
        <v>25</v>
      </c>
      <c r="D9" s="1"/>
      <c r="E9" s="1"/>
      <c r="F9" s="1"/>
    </row>
    <row r="10" spans="1:6" ht="37.5">
      <c r="A10" s="3">
        <v>5</v>
      </c>
      <c r="B10" s="4" t="s">
        <v>11</v>
      </c>
      <c r="C10" s="7">
        <f>436.8</f>
        <v>436.8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>
        <f>1798.04</f>
        <v>1798.04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>
        <f>1829</f>
        <v>1829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>
        <f>52</f>
        <v>52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>
        <f>2197</f>
        <v>2197</v>
      </c>
      <c r="D14" s="1"/>
      <c r="E14" s="1"/>
      <c r="F14" s="1"/>
    </row>
    <row r="15" spans="1:6" ht="18.75">
      <c r="A15" s="3">
        <v>10</v>
      </c>
      <c r="B15" s="4" t="s">
        <v>16</v>
      </c>
      <c r="C15" s="7">
        <f>2952.16</f>
        <v>2952.16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14097</f>
        <v>14097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>
        <f>4446.56</f>
        <v>4446.56</v>
      </c>
      <c r="D17" s="1"/>
      <c r="E17" s="1"/>
      <c r="F17" s="1"/>
    </row>
    <row r="18" spans="1:6" ht="18.75">
      <c r="A18" s="3">
        <v>13</v>
      </c>
      <c r="B18" s="4" t="s">
        <v>19</v>
      </c>
      <c r="C18" s="7">
        <f>6811.18</f>
        <v>6811.18</v>
      </c>
      <c r="D18" s="1"/>
      <c r="E18" s="1"/>
      <c r="F18" s="1"/>
    </row>
    <row r="19" spans="1:6" ht="18.75">
      <c r="A19" s="3">
        <v>14</v>
      </c>
      <c r="B19" s="4" t="s">
        <v>20</v>
      </c>
      <c r="C19" s="7">
        <f>4004.15</f>
        <v>4004.15</v>
      </c>
      <c r="D19" s="1"/>
      <c r="E19" s="1"/>
      <c r="F19" s="1"/>
    </row>
    <row r="20" spans="1:6" ht="18.75">
      <c r="A20" s="3">
        <v>15</v>
      </c>
      <c r="B20" s="4" t="s">
        <v>21</v>
      </c>
      <c r="C20" s="7">
        <f>2669.43</f>
        <v>2669.43</v>
      </c>
      <c r="D20" s="1"/>
      <c r="E20" s="1"/>
      <c r="F20" s="1"/>
    </row>
    <row r="21" spans="1:6" ht="18.75">
      <c r="A21" s="3">
        <v>16</v>
      </c>
      <c r="B21" s="4" t="s">
        <v>22</v>
      </c>
      <c r="C21" s="7">
        <f>2669.43</f>
        <v>2669.43</v>
      </c>
      <c r="D21" s="1"/>
      <c r="E21" s="1"/>
      <c r="F21" s="1"/>
    </row>
    <row r="22" spans="1:6" ht="23.25" customHeight="1">
      <c r="A22" s="3">
        <v>17</v>
      </c>
      <c r="B22" s="4" t="s">
        <v>23</v>
      </c>
      <c r="C22" s="7">
        <f>39231</f>
        <v>39231</v>
      </c>
      <c r="D22" s="1"/>
      <c r="E22" s="1"/>
      <c r="F22" s="1"/>
    </row>
    <row r="23" spans="1:6" ht="22.5" customHeight="1">
      <c r="A23" s="3">
        <v>18</v>
      </c>
      <c r="B23" s="4" t="s">
        <v>24</v>
      </c>
      <c r="C23" s="7">
        <f>4871</f>
        <v>4871</v>
      </c>
      <c r="D23" s="1"/>
      <c r="E23" s="1"/>
      <c r="F23" s="1"/>
    </row>
    <row r="24" spans="1:6" ht="18.75">
      <c r="A24" s="5"/>
      <c r="B24" s="6" t="s">
        <v>6</v>
      </c>
      <c r="C24" s="8">
        <f>SUM(C6:C23)</f>
        <v>93723.02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C24" sqref="C24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4</v>
      </c>
      <c r="B2" s="15"/>
      <c r="C2" s="15"/>
      <c r="D2" s="10"/>
      <c r="E2" s="10"/>
      <c r="F2" s="10"/>
    </row>
    <row r="3" spans="1:6" ht="18.75">
      <c r="A3" s="15" t="s">
        <v>58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31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1546.18</f>
        <v>1546.18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59</v>
      </c>
      <c r="C9" s="7">
        <f>1356</f>
        <v>1356</v>
      </c>
      <c r="D9" s="1"/>
      <c r="E9" s="1"/>
      <c r="F9" s="1"/>
    </row>
    <row r="10" spans="1:6" ht="37.5">
      <c r="A10" s="3">
        <v>5</v>
      </c>
      <c r="B10" s="4" t="s">
        <v>11</v>
      </c>
      <c r="C10" s="7">
        <f>436.8</f>
        <v>436.8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>
        <f>1798.04</f>
        <v>1798.04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>
        <f>1694</f>
        <v>1694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>
        <f>105</f>
        <v>105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>
        <f>1590</f>
        <v>1590</v>
      </c>
      <c r="D14" s="1"/>
      <c r="E14" s="1"/>
      <c r="F14" s="1"/>
    </row>
    <row r="15" spans="1:6" ht="18.75">
      <c r="A15" s="3">
        <v>10</v>
      </c>
      <c r="B15" s="4" t="s">
        <v>16</v>
      </c>
      <c r="C15" s="7">
        <f>2043.78</f>
        <v>2043.78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14098</f>
        <v>14098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>
        <f>4446.56</f>
        <v>4446.56</v>
      </c>
      <c r="D17" s="1"/>
      <c r="E17" s="1"/>
      <c r="F17" s="1"/>
    </row>
    <row r="18" spans="1:6" ht="18.75">
      <c r="A18" s="3">
        <v>13</v>
      </c>
      <c r="B18" s="4" t="s">
        <v>19</v>
      </c>
      <c r="C18" s="7">
        <f>6811.18</f>
        <v>6811.18</v>
      </c>
      <c r="D18" s="1"/>
      <c r="E18" s="1"/>
      <c r="F18" s="1"/>
    </row>
    <row r="19" spans="1:6" ht="18.75">
      <c r="A19" s="3">
        <v>14</v>
      </c>
      <c r="B19" s="4" t="s">
        <v>20</v>
      </c>
      <c r="C19" s="7">
        <f>4004.15</f>
        <v>4004.15</v>
      </c>
      <c r="D19" s="1"/>
      <c r="E19" s="1"/>
      <c r="F19" s="1"/>
    </row>
    <row r="20" spans="1:6" ht="18.75">
      <c r="A20" s="3">
        <v>15</v>
      </c>
      <c r="B20" s="4" t="s">
        <v>21</v>
      </c>
      <c r="C20" s="7">
        <f>2669.43</f>
        <v>2669.43</v>
      </c>
      <c r="D20" s="1"/>
      <c r="E20" s="1"/>
      <c r="F20" s="1"/>
    </row>
    <row r="21" spans="1:6" ht="18.75">
      <c r="A21" s="3">
        <v>16</v>
      </c>
      <c r="B21" s="4" t="s">
        <v>22</v>
      </c>
      <c r="C21" s="7">
        <f>2669.43</f>
        <v>2669.43</v>
      </c>
      <c r="D21" s="1"/>
      <c r="E21" s="1"/>
      <c r="F21" s="1"/>
    </row>
    <row r="22" spans="1:6" ht="23.25" customHeight="1">
      <c r="A22" s="3">
        <v>17</v>
      </c>
      <c r="B22" s="4" t="s">
        <v>23</v>
      </c>
      <c r="C22" s="7">
        <f>39232</f>
        <v>39232</v>
      </c>
      <c r="D22" s="1"/>
      <c r="E22" s="1"/>
      <c r="F22" s="1"/>
    </row>
    <row r="23" spans="1:6" ht="22.5" customHeight="1">
      <c r="A23" s="3">
        <v>18</v>
      </c>
      <c r="B23" s="4" t="s">
        <v>24</v>
      </c>
      <c r="C23" s="7">
        <f>4872</f>
        <v>4872</v>
      </c>
      <c r="D23" s="1"/>
      <c r="E23" s="1"/>
      <c r="F23" s="1"/>
    </row>
    <row r="24" spans="1:6" ht="18.75">
      <c r="A24" s="5"/>
      <c r="B24" s="6" t="s">
        <v>6</v>
      </c>
      <c r="C24" s="8">
        <f>SUM(C6:C23)</f>
        <v>93659.35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C24" sqref="C24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4</v>
      </c>
      <c r="B2" s="15"/>
      <c r="C2" s="15"/>
      <c r="D2" s="10"/>
      <c r="E2" s="10"/>
      <c r="F2" s="10"/>
    </row>
    <row r="3" spans="1:6" ht="18.75">
      <c r="A3" s="15" t="s">
        <v>71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31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1426.69</f>
        <v>1426.69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69</v>
      </c>
      <c r="C9" s="7" t="s">
        <v>25</v>
      </c>
      <c r="D9" s="1"/>
      <c r="E9" s="1"/>
      <c r="F9" s="1"/>
    </row>
    <row r="10" spans="1:6" ht="37.5">
      <c r="A10" s="3">
        <v>5</v>
      </c>
      <c r="B10" s="4" t="s">
        <v>11</v>
      </c>
      <c r="C10" s="7">
        <f>436.8</f>
        <v>436.8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>
        <f>1798.04</f>
        <v>1798.04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>
        <f>2083</f>
        <v>2083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>
        <f>3363</f>
        <v>3363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>
        <f>3463</f>
        <v>3463</v>
      </c>
      <c r="D14" s="1"/>
      <c r="E14" s="1"/>
      <c r="F14" s="1"/>
    </row>
    <row r="15" spans="1:6" ht="18.75">
      <c r="A15" s="3">
        <v>10</v>
      </c>
      <c r="B15" s="4" t="s">
        <v>16</v>
      </c>
      <c r="C15" s="7">
        <f>5409.88</f>
        <v>5409.88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13184</f>
        <v>13184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>
        <f>4446.56</f>
        <v>4446.56</v>
      </c>
      <c r="D17" s="1"/>
      <c r="E17" s="1"/>
      <c r="F17" s="1"/>
    </row>
    <row r="18" spans="1:6" ht="18.75">
      <c r="A18" s="3">
        <v>13</v>
      </c>
      <c r="B18" s="4" t="s">
        <v>19</v>
      </c>
      <c r="C18" s="7">
        <f>6811.18</f>
        <v>6811.18</v>
      </c>
      <c r="D18" s="1"/>
      <c r="E18" s="1"/>
      <c r="F18" s="1"/>
    </row>
    <row r="19" spans="1:6" ht="18.75">
      <c r="A19" s="3">
        <v>14</v>
      </c>
      <c r="B19" s="4" t="s">
        <v>20</v>
      </c>
      <c r="C19" s="7">
        <f>4004.15</f>
        <v>4004.15</v>
      </c>
      <c r="D19" s="1"/>
      <c r="E19" s="1"/>
      <c r="F19" s="1"/>
    </row>
    <row r="20" spans="1:6" ht="18.75">
      <c r="A20" s="3">
        <v>15</v>
      </c>
      <c r="B20" s="4" t="s">
        <v>21</v>
      </c>
      <c r="C20" s="7">
        <f>2669.43</f>
        <v>2669.43</v>
      </c>
      <c r="D20" s="1"/>
      <c r="E20" s="1"/>
      <c r="F20" s="1"/>
    </row>
    <row r="21" spans="1:6" ht="18.75">
      <c r="A21" s="3">
        <v>16</v>
      </c>
      <c r="B21" s="4" t="s">
        <v>22</v>
      </c>
      <c r="C21" s="7">
        <f>2669.43</f>
        <v>2669.43</v>
      </c>
      <c r="D21" s="1"/>
      <c r="E21" s="1"/>
      <c r="F21" s="1"/>
    </row>
    <row r="22" spans="1:6" ht="23.25" customHeight="1">
      <c r="A22" s="3">
        <v>17</v>
      </c>
      <c r="B22" s="4" t="s">
        <v>23</v>
      </c>
      <c r="C22" s="7">
        <f>36694</f>
        <v>36694</v>
      </c>
      <c r="D22" s="1"/>
      <c r="E22" s="1"/>
      <c r="F22" s="1"/>
    </row>
    <row r="23" spans="1:6" ht="22.5" customHeight="1">
      <c r="A23" s="3">
        <v>18</v>
      </c>
      <c r="B23" s="4" t="s">
        <v>24</v>
      </c>
      <c r="C23" s="7">
        <f>4555</f>
        <v>4555</v>
      </c>
      <c r="D23" s="1"/>
      <c r="E23" s="1"/>
      <c r="F23" s="1"/>
    </row>
    <row r="24" spans="1:6" ht="18.75">
      <c r="A24" s="5"/>
      <c r="B24" s="6" t="s">
        <v>6</v>
      </c>
      <c r="C24" s="8">
        <f>SUM(C6:C23)</f>
        <v>97300.96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C24" sqref="C24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4</v>
      </c>
      <c r="B2" s="15"/>
      <c r="C2" s="15"/>
      <c r="D2" s="10"/>
      <c r="E2" s="10"/>
      <c r="F2" s="10"/>
    </row>
    <row r="3" spans="1:6" ht="18.75">
      <c r="A3" s="15" t="s">
        <v>60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31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1518.25</f>
        <v>1518.25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69</v>
      </c>
      <c r="C9" s="7" t="s">
        <v>25</v>
      </c>
      <c r="D9" s="1"/>
      <c r="E9" s="1"/>
      <c r="F9" s="1"/>
    </row>
    <row r="10" spans="1:6" ht="37.5">
      <c r="A10" s="3">
        <v>5</v>
      </c>
      <c r="B10" s="4" t="s">
        <v>11</v>
      </c>
      <c r="C10" s="7">
        <f>436.8</f>
        <v>436.8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>
        <f>1798.04</f>
        <v>1798.04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>
        <f>819</f>
        <v>819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>
        <f>76</f>
        <v>76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>
        <f>5506</f>
        <v>5506</v>
      </c>
      <c r="D14" s="1"/>
      <c r="E14" s="1"/>
      <c r="F14" s="1"/>
    </row>
    <row r="15" spans="1:6" ht="18.75">
      <c r="A15" s="3">
        <v>10</v>
      </c>
      <c r="B15" s="4" t="s">
        <v>16</v>
      </c>
      <c r="C15" s="7">
        <f>2386.94</f>
        <v>2386.94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13971</f>
        <v>13971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>
        <f>4446.56</f>
        <v>4446.56</v>
      </c>
      <c r="D17" s="1"/>
      <c r="E17" s="1"/>
      <c r="F17" s="1"/>
    </row>
    <row r="18" spans="1:6" ht="18.75">
      <c r="A18" s="3">
        <v>13</v>
      </c>
      <c r="B18" s="4" t="s">
        <v>19</v>
      </c>
      <c r="C18" s="7">
        <f>6811.18</f>
        <v>6811.18</v>
      </c>
      <c r="D18" s="1"/>
      <c r="E18" s="1"/>
      <c r="F18" s="1"/>
    </row>
    <row r="19" spans="1:6" ht="18.75">
      <c r="A19" s="3">
        <v>14</v>
      </c>
      <c r="B19" s="4" t="s">
        <v>20</v>
      </c>
      <c r="C19" s="7">
        <f>5360</f>
        <v>5360</v>
      </c>
      <c r="D19" s="1"/>
      <c r="E19" s="1"/>
      <c r="F19" s="1"/>
    </row>
    <row r="20" spans="1:6" ht="18.75">
      <c r="A20" s="3">
        <v>15</v>
      </c>
      <c r="B20" s="4" t="s">
        <v>21</v>
      </c>
      <c r="C20" s="7">
        <f>2669.43</f>
        <v>2669.43</v>
      </c>
      <c r="D20" s="1"/>
      <c r="E20" s="1"/>
      <c r="F20" s="1"/>
    </row>
    <row r="21" spans="1:6" ht="18.75">
      <c r="A21" s="3">
        <v>16</v>
      </c>
      <c r="B21" s="4" t="s">
        <v>22</v>
      </c>
      <c r="C21" s="7">
        <f>2669.43</f>
        <v>2669.43</v>
      </c>
      <c r="D21" s="1"/>
      <c r="E21" s="1"/>
      <c r="F21" s="1"/>
    </row>
    <row r="22" spans="1:6" ht="23.25" customHeight="1">
      <c r="A22" s="3">
        <v>17</v>
      </c>
      <c r="B22" s="4" t="s">
        <v>23</v>
      </c>
      <c r="C22" s="7">
        <f>38883</f>
        <v>38883</v>
      </c>
      <c r="D22" s="1"/>
      <c r="E22" s="1"/>
      <c r="F22" s="1"/>
    </row>
    <row r="23" spans="1:6" ht="22.5" customHeight="1">
      <c r="A23" s="3">
        <v>18</v>
      </c>
      <c r="B23" s="4" t="s">
        <v>24</v>
      </c>
      <c r="C23" s="7">
        <f>4827</f>
        <v>4827</v>
      </c>
      <c r="D23" s="1"/>
      <c r="E23" s="1"/>
      <c r="F23" s="1"/>
    </row>
    <row r="24" spans="1:6" ht="18.75">
      <c r="A24" s="5"/>
      <c r="B24" s="6" t="s">
        <v>6</v>
      </c>
      <c r="C24" s="8">
        <f>SUM(C6:C23)</f>
        <v>96465.43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C24" sqref="C24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4</v>
      </c>
      <c r="B2" s="15"/>
      <c r="C2" s="15"/>
      <c r="D2" s="10"/>
      <c r="E2" s="10"/>
      <c r="F2" s="10"/>
    </row>
    <row r="3" spans="1:6" ht="18.75">
      <c r="A3" s="15" t="s">
        <v>61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31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1526.86</f>
        <v>1526.86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69</v>
      </c>
      <c r="C9" s="7" t="s">
        <v>25</v>
      </c>
      <c r="D9" s="1"/>
      <c r="E9" s="1"/>
      <c r="F9" s="1"/>
    </row>
    <row r="10" spans="1:6" ht="37.5">
      <c r="A10" s="3">
        <v>5</v>
      </c>
      <c r="B10" s="4" t="s">
        <v>11</v>
      </c>
      <c r="C10" s="7">
        <f>436.8</f>
        <v>436.8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>
        <f>1798.04</f>
        <v>1798.04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>
        <f>795</f>
        <v>795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 t="s">
        <v>25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>
        <f>1159</f>
        <v>1159</v>
      </c>
      <c r="D14" s="1"/>
      <c r="E14" s="1"/>
      <c r="F14" s="1"/>
    </row>
    <row r="15" spans="1:6" ht="18.75">
      <c r="A15" s="3">
        <v>10</v>
      </c>
      <c r="B15" s="4" t="s">
        <v>16</v>
      </c>
      <c r="C15" s="7">
        <f>1091.7</f>
        <v>1091.7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14127</f>
        <v>14127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>
        <f>4446.56</f>
        <v>4446.56</v>
      </c>
      <c r="D17" s="1"/>
      <c r="E17" s="1"/>
      <c r="F17" s="1"/>
    </row>
    <row r="18" spans="1:6" ht="18.75">
      <c r="A18" s="3">
        <v>13</v>
      </c>
      <c r="B18" s="4" t="s">
        <v>19</v>
      </c>
      <c r="C18" s="7">
        <f>6811.18</f>
        <v>6811.18</v>
      </c>
      <c r="D18" s="1"/>
      <c r="E18" s="1"/>
      <c r="F18" s="1"/>
    </row>
    <row r="19" spans="1:6" ht="18.75">
      <c r="A19" s="3">
        <v>14</v>
      </c>
      <c r="B19" s="4" t="s">
        <v>20</v>
      </c>
      <c r="C19" s="7">
        <f>4004.15</f>
        <v>4004.15</v>
      </c>
      <c r="D19" s="1"/>
      <c r="E19" s="1"/>
      <c r="F19" s="1"/>
    </row>
    <row r="20" spans="1:6" ht="18.75">
      <c r="A20" s="3">
        <v>15</v>
      </c>
      <c r="B20" s="4" t="s">
        <v>21</v>
      </c>
      <c r="C20" s="7">
        <f>2669.43</f>
        <v>2669.43</v>
      </c>
      <c r="D20" s="1"/>
      <c r="E20" s="1"/>
      <c r="F20" s="1"/>
    </row>
    <row r="21" spans="1:6" ht="18.75">
      <c r="A21" s="3">
        <v>16</v>
      </c>
      <c r="B21" s="4" t="s">
        <v>22</v>
      </c>
      <c r="C21" s="7">
        <f>2669.43</f>
        <v>2669.43</v>
      </c>
      <c r="D21" s="1"/>
      <c r="E21" s="1"/>
      <c r="F21" s="1"/>
    </row>
    <row r="22" spans="1:6" ht="23.25" customHeight="1">
      <c r="A22" s="3">
        <v>17</v>
      </c>
      <c r="B22" s="4" t="s">
        <v>23</v>
      </c>
      <c r="C22" s="7">
        <f>39316</f>
        <v>39316</v>
      </c>
      <c r="D22" s="1"/>
      <c r="E22" s="1"/>
      <c r="F22" s="1"/>
    </row>
    <row r="23" spans="1:6" ht="22.5" customHeight="1">
      <c r="A23" s="3">
        <v>18</v>
      </c>
      <c r="B23" s="4" t="s">
        <v>24</v>
      </c>
      <c r="C23" s="7">
        <f>4881</f>
        <v>4881</v>
      </c>
      <c r="D23" s="1"/>
      <c r="E23" s="1"/>
      <c r="F23" s="1"/>
    </row>
    <row r="24" spans="1:6" ht="18.75">
      <c r="A24" s="5"/>
      <c r="B24" s="6" t="s">
        <v>6</v>
      </c>
      <c r="C24" s="8">
        <f>SUM(C6:C23)</f>
        <v>90018.95000000001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C24" sqref="C24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4</v>
      </c>
      <c r="B2" s="15"/>
      <c r="C2" s="15"/>
      <c r="D2" s="10"/>
      <c r="E2" s="10"/>
      <c r="F2" s="10"/>
    </row>
    <row r="3" spans="1:6" ht="18.75">
      <c r="A3" s="15" t="s">
        <v>62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31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1508.58</f>
        <v>1508.58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54</v>
      </c>
      <c r="C9" s="7" t="s">
        <v>25</v>
      </c>
      <c r="D9" s="1"/>
      <c r="E9" s="1"/>
      <c r="F9" s="1"/>
    </row>
    <row r="10" spans="1:6" ht="37.5">
      <c r="A10" s="3">
        <v>5</v>
      </c>
      <c r="B10" s="4" t="s">
        <v>11</v>
      </c>
      <c r="C10" s="7">
        <f>436.8</f>
        <v>436.8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>
        <f>1798.04</f>
        <v>1798.04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>
        <f>780</f>
        <v>780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>
        <f>603</f>
        <v>603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>
        <f>1568</f>
        <v>1568</v>
      </c>
      <c r="D14" s="1"/>
      <c r="E14" s="1"/>
      <c r="F14" s="1"/>
    </row>
    <row r="15" spans="1:6" ht="18.75">
      <c r="A15" s="3">
        <v>10</v>
      </c>
      <c r="B15" s="4" t="s">
        <v>16</v>
      </c>
      <c r="C15" s="7">
        <f>1624.02</f>
        <v>1624.02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14006</f>
        <v>14006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>
        <f>4446.56</f>
        <v>4446.56</v>
      </c>
      <c r="D17" s="1"/>
      <c r="E17" s="1"/>
      <c r="F17" s="1"/>
    </row>
    <row r="18" spans="1:6" ht="18.75">
      <c r="A18" s="3">
        <v>13</v>
      </c>
      <c r="B18" s="4" t="s">
        <v>19</v>
      </c>
      <c r="C18" s="7">
        <f>6811.18</f>
        <v>6811.18</v>
      </c>
      <c r="D18" s="1"/>
      <c r="E18" s="1"/>
      <c r="F18" s="1"/>
    </row>
    <row r="19" spans="1:6" ht="18.75">
      <c r="A19" s="3">
        <v>14</v>
      </c>
      <c r="B19" s="4" t="s">
        <v>20</v>
      </c>
      <c r="C19" s="7">
        <f>4004.15</f>
        <v>4004.15</v>
      </c>
      <c r="D19" s="1"/>
      <c r="E19" s="1"/>
      <c r="F19" s="1"/>
    </row>
    <row r="20" spans="1:6" ht="18.75">
      <c r="A20" s="3">
        <v>15</v>
      </c>
      <c r="B20" s="4" t="s">
        <v>21</v>
      </c>
      <c r="C20" s="7">
        <f>2669.43</f>
        <v>2669.43</v>
      </c>
      <c r="D20" s="1"/>
      <c r="E20" s="1"/>
      <c r="F20" s="1"/>
    </row>
    <row r="21" spans="1:6" ht="18.75">
      <c r="A21" s="3">
        <v>16</v>
      </c>
      <c r="B21" s="4" t="s">
        <v>22</v>
      </c>
      <c r="C21" s="7">
        <f>2669.43</f>
        <v>2669.43</v>
      </c>
      <c r="D21" s="1"/>
      <c r="E21" s="1"/>
      <c r="F21" s="1"/>
    </row>
    <row r="22" spans="1:6" ht="23.25" customHeight="1">
      <c r="A22" s="3">
        <v>17</v>
      </c>
      <c r="B22" s="4" t="s">
        <v>23</v>
      </c>
      <c r="C22" s="7">
        <f>38981</f>
        <v>38981</v>
      </c>
      <c r="D22" s="1"/>
      <c r="E22" s="1"/>
      <c r="F22" s="1"/>
    </row>
    <row r="23" spans="1:6" ht="22.5" customHeight="1">
      <c r="A23" s="3">
        <v>18</v>
      </c>
      <c r="B23" s="4" t="s">
        <v>24</v>
      </c>
      <c r="C23" s="7">
        <f>4839</f>
        <v>4839</v>
      </c>
      <c r="D23" s="1"/>
      <c r="E23" s="1"/>
      <c r="F23" s="1"/>
    </row>
    <row r="24" spans="1:6" ht="18.75">
      <c r="A24" s="5"/>
      <c r="B24" s="6" t="s">
        <v>6</v>
      </c>
      <c r="C24" s="8">
        <f>SUM(C6:C23)</f>
        <v>91031.99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9">
      <selection activeCell="C24" sqref="C24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4</v>
      </c>
      <c r="B2" s="15"/>
      <c r="C2" s="15"/>
      <c r="D2" s="10"/>
      <c r="E2" s="10"/>
      <c r="F2" s="10"/>
    </row>
    <row r="3" spans="1:6" ht="18.75">
      <c r="A3" s="15" t="s">
        <v>27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7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368.33</f>
        <v>368.33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 t="s">
        <v>25</v>
      </c>
      <c r="D8" s="1"/>
      <c r="E8" s="1"/>
      <c r="F8" s="1"/>
    </row>
    <row r="9" spans="1:6" ht="18" customHeight="1">
      <c r="A9" s="3">
        <v>4</v>
      </c>
      <c r="B9" s="4" t="s">
        <v>10</v>
      </c>
      <c r="C9" s="7" t="s">
        <v>25</v>
      </c>
      <c r="D9" s="1"/>
      <c r="E9" s="1"/>
      <c r="F9" s="1"/>
    </row>
    <row r="10" spans="1:6" ht="37.5">
      <c r="A10" s="3">
        <v>5</v>
      </c>
      <c r="B10" s="4" t="s">
        <v>11</v>
      </c>
      <c r="C10" s="7" t="s">
        <v>25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 t="s">
        <v>25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 t="s">
        <v>25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 t="s">
        <v>25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>
        <f>880</f>
        <v>880</v>
      </c>
      <c r="D14" s="1"/>
      <c r="E14" s="1"/>
      <c r="F14" s="1"/>
    </row>
    <row r="15" spans="1:6" ht="18.75">
      <c r="A15" s="3">
        <v>10</v>
      </c>
      <c r="B15" s="4" t="s">
        <v>16</v>
      </c>
      <c r="C15" s="7">
        <f>458.16</f>
        <v>458.16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3102</f>
        <v>3102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 t="s">
        <v>25</v>
      </c>
      <c r="D17" s="1"/>
      <c r="E17" s="1"/>
      <c r="F17" s="1"/>
    </row>
    <row r="18" spans="1:6" ht="18.75">
      <c r="A18" s="3">
        <v>13</v>
      </c>
      <c r="B18" s="4" t="s">
        <v>19</v>
      </c>
      <c r="C18" s="7">
        <f>3405.59</f>
        <v>3405.59</v>
      </c>
      <c r="D18" s="1"/>
      <c r="E18" s="1"/>
      <c r="F18" s="1"/>
    </row>
    <row r="19" spans="1:6" ht="18.75">
      <c r="A19" s="3">
        <v>14</v>
      </c>
      <c r="B19" s="4" t="s">
        <v>20</v>
      </c>
      <c r="C19" s="7">
        <f>2669.43</f>
        <v>2669.43</v>
      </c>
      <c r="D19" s="1"/>
      <c r="E19" s="1"/>
      <c r="F19" s="1"/>
    </row>
    <row r="20" spans="1:6" ht="18.75">
      <c r="A20" s="3">
        <v>15</v>
      </c>
      <c r="B20" s="4" t="s">
        <v>21</v>
      </c>
      <c r="C20" s="7">
        <f>2669.43</f>
        <v>2669.43</v>
      </c>
      <c r="D20" s="1"/>
      <c r="E20" s="1"/>
      <c r="F20" s="1"/>
    </row>
    <row r="21" spans="1:6" ht="18.75">
      <c r="A21" s="3">
        <v>16</v>
      </c>
      <c r="B21" s="4" t="s">
        <v>22</v>
      </c>
      <c r="C21" s="7">
        <f>2669.43</f>
        <v>2669.43</v>
      </c>
      <c r="D21" s="1"/>
      <c r="E21" s="1"/>
      <c r="F21" s="1"/>
    </row>
    <row r="22" spans="1:6" ht="23.25" customHeight="1">
      <c r="A22" s="3">
        <v>17</v>
      </c>
      <c r="B22" s="4" t="s">
        <v>23</v>
      </c>
      <c r="C22" s="7">
        <v>8634</v>
      </c>
      <c r="D22" s="1"/>
      <c r="E22" s="1"/>
      <c r="F22" s="1"/>
    </row>
    <row r="23" spans="1:6" ht="22.5" customHeight="1">
      <c r="A23" s="3">
        <v>18</v>
      </c>
      <c r="B23" s="4" t="s">
        <v>24</v>
      </c>
      <c r="C23" s="7">
        <f>1072</f>
        <v>1072</v>
      </c>
      <c r="D23" s="1"/>
      <c r="E23" s="1"/>
      <c r="F23" s="1"/>
    </row>
    <row r="24" spans="1:6" ht="18.75">
      <c r="A24" s="5"/>
      <c r="B24" s="6" t="s">
        <v>6</v>
      </c>
      <c r="C24" s="8">
        <f>SUM(C6:C23)</f>
        <v>28781.170000000002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C24" sqref="C24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4</v>
      </c>
      <c r="B2" s="15"/>
      <c r="C2" s="15"/>
      <c r="D2" s="10"/>
      <c r="E2" s="10"/>
      <c r="F2" s="10"/>
    </row>
    <row r="3" spans="1:6" ht="18.75">
      <c r="A3" s="15" t="s">
        <v>72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31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1515.73</f>
        <v>1515.73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54</v>
      </c>
      <c r="C9" s="7" t="s">
        <v>25</v>
      </c>
      <c r="D9" s="1"/>
      <c r="E9" s="1"/>
      <c r="F9" s="1"/>
    </row>
    <row r="10" spans="1:6" ht="37.5">
      <c r="A10" s="3">
        <v>5</v>
      </c>
      <c r="B10" s="4" t="s">
        <v>11</v>
      </c>
      <c r="C10" s="7">
        <f>436.8</f>
        <v>436.8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>
        <f>1798.04</f>
        <v>1798.04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>
        <f>1734</f>
        <v>1734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>
        <f>1971</f>
        <v>1971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>
        <f>4898</f>
        <v>4898</v>
      </c>
      <c r="D14" s="1"/>
      <c r="E14" s="1"/>
      <c r="F14" s="1"/>
    </row>
    <row r="15" spans="1:6" ht="18.75">
      <c r="A15" s="3">
        <v>10</v>
      </c>
      <c r="B15" s="4" t="s">
        <v>16</v>
      </c>
      <c r="C15" s="7">
        <f>4265.31</f>
        <v>4265.31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13977</f>
        <v>13977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>
        <f>4446.56</f>
        <v>4446.56</v>
      </c>
      <c r="D17" s="1"/>
      <c r="E17" s="1"/>
      <c r="F17" s="1"/>
    </row>
    <row r="18" spans="1:6" ht="18.75">
      <c r="A18" s="3">
        <v>13</v>
      </c>
      <c r="B18" s="4" t="s">
        <v>19</v>
      </c>
      <c r="C18" s="7">
        <f>6811.18</f>
        <v>6811.18</v>
      </c>
      <c r="D18" s="1"/>
      <c r="E18" s="1"/>
      <c r="F18" s="1"/>
    </row>
    <row r="19" spans="1:6" ht="18.75">
      <c r="A19" s="3">
        <v>14</v>
      </c>
      <c r="B19" s="4" t="s">
        <v>20</v>
      </c>
      <c r="C19" s="7">
        <f>4004.15</f>
        <v>4004.15</v>
      </c>
      <c r="D19" s="1"/>
      <c r="E19" s="1"/>
      <c r="F19" s="1"/>
    </row>
    <row r="20" spans="1:6" ht="18.75">
      <c r="A20" s="3">
        <v>15</v>
      </c>
      <c r="B20" s="4" t="s">
        <v>21</v>
      </c>
      <c r="C20" s="7">
        <f>2669.43</f>
        <v>2669.43</v>
      </c>
      <c r="D20" s="1"/>
      <c r="E20" s="1"/>
      <c r="F20" s="1"/>
    </row>
    <row r="21" spans="1:6" ht="18.75">
      <c r="A21" s="3">
        <v>16</v>
      </c>
      <c r="B21" s="4" t="s">
        <v>22</v>
      </c>
      <c r="C21" s="7">
        <f>2669.43</f>
        <v>2669.43</v>
      </c>
      <c r="D21" s="1"/>
      <c r="E21" s="1"/>
      <c r="F21" s="1"/>
    </row>
    <row r="22" spans="1:6" ht="23.25" customHeight="1">
      <c r="A22" s="3">
        <v>17</v>
      </c>
      <c r="B22" s="4" t="s">
        <v>23</v>
      </c>
      <c r="C22" s="7">
        <f>38898</f>
        <v>38898</v>
      </c>
      <c r="D22" s="1"/>
      <c r="E22" s="1"/>
      <c r="F22" s="1"/>
    </row>
    <row r="23" spans="1:6" ht="22.5" customHeight="1">
      <c r="A23" s="3">
        <v>18</v>
      </c>
      <c r="B23" s="4" t="s">
        <v>24</v>
      </c>
      <c r="C23" s="7">
        <f>4828</f>
        <v>4828</v>
      </c>
      <c r="D23" s="1"/>
      <c r="E23" s="1"/>
      <c r="F23" s="1"/>
    </row>
    <row r="24" spans="1:6" ht="18.75">
      <c r="A24" s="5"/>
      <c r="B24" s="6" t="s">
        <v>6</v>
      </c>
      <c r="C24" s="8">
        <f>SUM(C6:C23)</f>
        <v>99209.43000000001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C24" sqref="C24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4</v>
      </c>
      <c r="B2" s="15"/>
      <c r="C2" s="15"/>
      <c r="D2" s="10"/>
      <c r="E2" s="10"/>
      <c r="F2" s="10"/>
    </row>
    <row r="3" spans="1:6" ht="18.75">
      <c r="A3" s="15" t="s">
        <v>63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31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1488.43</f>
        <v>1488.43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64</v>
      </c>
      <c r="C9" s="7">
        <f>226</f>
        <v>226</v>
      </c>
      <c r="D9" s="1"/>
      <c r="E9" s="1"/>
      <c r="F9" s="1"/>
    </row>
    <row r="10" spans="1:6" ht="37.5">
      <c r="A10" s="3">
        <v>5</v>
      </c>
      <c r="B10" s="4" t="s">
        <v>11</v>
      </c>
      <c r="C10" s="7">
        <f>436.8</f>
        <v>436.8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>
        <f>1798.04</f>
        <v>1798.04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>
        <f>1726</f>
        <v>1726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>
        <f>4653</f>
        <v>4653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>
        <f>35941</f>
        <v>35941</v>
      </c>
      <c r="D14" s="1"/>
      <c r="E14" s="1"/>
      <c r="F14" s="1"/>
    </row>
    <row r="15" spans="1:6" ht="18.75">
      <c r="A15" s="3">
        <v>10</v>
      </c>
      <c r="B15" s="4" t="s">
        <v>16</v>
      </c>
      <c r="C15" s="7">
        <f>14937.12</f>
        <v>14937.12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13987</f>
        <v>13987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>
        <f>4446.56</f>
        <v>4446.56</v>
      </c>
      <c r="D17" s="1"/>
      <c r="E17" s="1"/>
      <c r="F17" s="1"/>
    </row>
    <row r="18" spans="1:6" ht="18.75">
      <c r="A18" s="3">
        <v>13</v>
      </c>
      <c r="B18" s="4" t="s">
        <v>19</v>
      </c>
      <c r="C18" s="7">
        <f>6811.18</f>
        <v>6811.18</v>
      </c>
      <c r="D18" s="1"/>
      <c r="E18" s="1"/>
      <c r="F18" s="1"/>
    </row>
    <row r="19" spans="1:6" ht="18.75">
      <c r="A19" s="3">
        <v>14</v>
      </c>
      <c r="B19" s="4" t="s">
        <v>20</v>
      </c>
      <c r="C19" s="7">
        <f>5338.86</f>
        <v>5338.86</v>
      </c>
      <c r="D19" s="1"/>
      <c r="E19" s="1"/>
      <c r="F19" s="1"/>
    </row>
    <row r="20" spans="1:6" ht="18.75">
      <c r="A20" s="3">
        <v>15</v>
      </c>
      <c r="B20" s="4" t="s">
        <v>21</v>
      </c>
      <c r="C20" s="7">
        <f>5338.86</f>
        <v>5338.86</v>
      </c>
      <c r="D20" s="1"/>
      <c r="E20" s="1"/>
      <c r="F20" s="1"/>
    </row>
    <row r="21" spans="1:6" ht="18.75">
      <c r="A21" s="3">
        <v>16</v>
      </c>
      <c r="B21" s="4" t="s">
        <v>22</v>
      </c>
      <c r="C21" s="7">
        <f>5338.86</f>
        <v>5338.86</v>
      </c>
      <c r="D21" s="1"/>
      <c r="E21" s="1"/>
      <c r="F21" s="1"/>
    </row>
    <row r="22" spans="1:6" ht="23.25" customHeight="1">
      <c r="A22" s="3">
        <v>17</v>
      </c>
      <c r="B22" s="4" t="s">
        <v>23</v>
      </c>
      <c r="C22" s="7">
        <f>38925</f>
        <v>38925</v>
      </c>
      <c r="D22" s="1"/>
      <c r="E22" s="1"/>
      <c r="F22" s="1"/>
    </row>
    <row r="23" spans="1:6" ht="22.5" customHeight="1">
      <c r="A23" s="3">
        <v>18</v>
      </c>
      <c r="B23" s="4" t="s">
        <v>24</v>
      </c>
      <c r="C23" s="7">
        <f>4832</f>
        <v>4832</v>
      </c>
      <c r="D23" s="1"/>
      <c r="E23" s="1"/>
      <c r="F23" s="1"/>
    </row>
    <row r="24" spans="1:6" ht="18.75">
      <c r="A24" s="5"/>
      <c r="B24" s="6" t="s">
        <v>6</v>
      </c>
      <c r="C24" s="8">
        <f>SUM(C6:C23)</f>
        <v>150511.51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C24" sqref="C24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4</v>
      </c>
      <c r="B2" s="15"/>
      <c r="C2" s="15"/>
      <c r="D2" s="10"/>
      <c r="E2" s="10"/>
      <c r="F2" s="10"/>
    </row>
    <row r="3" spans="1:6" ht="18.75">
      <c r="A3" s="15" t="s">
        <v>73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31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1488.64</f>
        <v>1488.64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10</v>
      </c>
      <c r="C9" s="7" t="s">
        <v>25</v>
      </c>
      <c r="D9" s="1"/>
      <c r="E9" s="1"/>
      <c r="F9" s="1"/>
    </row>
    <row r="10" spans="1:6" ht="37.5">
      <c r="A10" s="3">
        <v>5</v>
      </c>
      <c r="B10" s="4" t="s">
        <v>11</v>
      </c>
      <c r="C10" s="7">
        <f>436.8</f>
        <v>436.8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>
        <f>1798.04</f>
        <v>1798.04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>
        <f>2950</f>
        <v>2950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>
        <f>111</f>
        <v>111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>
        <f>31</f>
        <v>31</v>
      </c>
      <c r="D14" s="1"/>
      <c r="E14" s="1"/>
      <c r="F14" s="1"/>
    </row>
    <row r="15" spans="1:6" ht="18.75">
      <c r="A15" s="3">
        <v>10</v>
      </c>
      <c r="B15" s="4" t="s">
        <v>16</v>
      </c>
      <c r="C15" s="7">
        <f>1349.55</f>
        <v>1349.55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13699</f>
        <v>13699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>
        <f>4446.56</f>
        <v>4446.56</v>
      </c>
      <c r="D17" s="1"/>
      <c r="E17" s="1"/>
      <c r="F17" s="1"/>
    </row>
    <row r="18" spans="1:6" ht="18.75">
      <c r="A18" s="3">
        <v>13</v>
      </c>
      <c r="B18" s="4" t="s">
        <v>19</v>
      </c>
      <c r="C18" s="7">
        <f>6811.18</f>
        <v>6811.18</v>
      </c>
      <c r="D18" s="1"/>
      <c r="E18" s="1"/>
      <c r="F18" s="1"/>
    </row>
    <row r="19" spans="1:6" ht="18.75">
      <c r="A19" s="3">
        <v>14</v>
      </c>
      <c r="B19" s="4" t="s">
        <v>20</v>
      </c>
      <c r="C19" s="7">
        <f>4004.15</f>
        <v>4004.15</v>
      </c>
      <c r="D19" s="1"/>
      <c r="E19" s="1"/>
      <c r="F19" s="1"/>
    </row>
    <row r="20" spans="1:6" ht="18.75">
      <c r="A20" s="3">
        <v>15</v>
      </c>
      <c r="B20" s="4" t="s">
        <v>21</v>
      </c>
      <c r="C20" s="7">
        <f>2669.43</f>
        <v>2669.43</v>
      </c>
      <c r="D20" s="1"/>
      <c r="E20" s="1"/>
      <c r="F20" s="1"/>
    </row>
    <row r="21" spans="1:6" ht="18.75">
      <c r="A21" s="3">
        <v>16</v>
      </c>
      <c r="B21" s="4" t="s">
        <v>22</v>
      </c>
      <c r="C21" s="7">
        <f>2669.43</f>
        <v>2669.43</v>
      </c>
      <c r="D21" s="1"/>
      <c r="E21" s="1"/>
      <c r="F21" s="1"/>
    </row>
    <row r="22" spans="1:6" ht="23.25" customHeight="1">
      <c r="A22" s="3">
        <v>17</v>
      </c>
      <c r="B22" s="4" t="s">
        <v>23</v>
      </c>
      <c r="C22" s="7">
        <f>38126</f>
        <v>38126</v>
      </c>
      <c r="D22" s="1"/>
      <c r="E22" s="1"/>
      <c r="F22" s="1"/>
    </row>
    <row r="23" spans="1:6" ht="22.5" customHeight="1">
      <c r="A23" s="3">
        <v>18</v>
      </c>
      <c r="B23" s="4" t="s">
        <v>24</v>
      </c>
      <c r="C23" s="7">
        <f>4733</f>
        <v>4733</v>
      </c>
      <c r="D23" s="1"/>
      <c r="E23" s="1"/>
      <c r="F23" s="1"/>
    </row>
    <row r="24" spans="1:6" ht="18.75">
      <c r="A24" s="5"/>
      <c r="B24" s="6" t="s">
        <v>6</v>
      </c>
      <c r="C24" s="8">
        <f>SUM(C6:C23)</f>
        <v>89610.58000000002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C24" sqref="C24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4</v>
      </c>
      <c r="B2" s="15"/>
      <c r="C2" s="15"/>
      <c r="D2" s="10"/>
      <c r="E2" s="10"/>
      <c r="F2" s="10"/>
    </row>
    <row r="3" spans="1:6" ht="18.75">
      <c r="A3" s="15" t="s">
        <v>74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31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1515.73</f>
        <v>1515.73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69</v>
      </c>
      <c r="C9" s="7" t="s">
        <v>25</v>
      </c>
      <c r="D9" s="1"/>
      <c r="E9" s="1"/>
      <c r="F9" s="1"/>
    </row>
    <row r="10" spans="1:6" ht="37.5">
      <c r="A10" s="3">
        <v>5</v>
      </c>
      <c r="B10" s="4" t="s">
        <v>11</v>
      </c>
      <c r="C10" s="7">
        <f>436.8</f>
        <v>436.8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>
        <f>1798.04</f>
        <v>1798.04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>
        <f>1161</f>
        <v>1161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>
        <f>1720</f>
        <v>1720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>
        <f>7988</f>
        <v>7988</v>
      </c>
      <c r="D14" s="1"/>
      <c r="E14" s="1"/>
      <c r="F14" s="1"/>
    </row>
    <row r="15" spans="1:6" ht="18.75">
      <c r="A15" s="3">
        <v>10</v>
      </c>
      <c r="B15" s="4" t="s">
        <v>16</v>
      </c>
      <c r="C15" s="7">
        <f>16487.77</f>
        <v>16487.77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13814</f>
        <v>13814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>
        <f>4446.56</f>
        <v>4446.56</v>
      </c>
      <c r="D17" s="1"/>
      <c r="E17" s="1"/>
      <c r="F17" s="1"/>
    </row>
    <row r="18" spans="1:6" ht="18.75">
      <c r="A18" s="3">
        <v>13</v>
      </c>
      <c r="B18" s="4" t="s">
        <v>19</v>
      </c>
      <c r="C18" s="7">
        <f>6811.18</f>
        <v>6811.18</v>
      </c>
      <c r="D18" s="1"/>
      <c r="E18" s="1"/>
      <c r="F18" s="1"/>
    </row>
    <row r="19" spans="1:6" ht="18.75">
      <c r="A19" s="3">
        <v>14</v>
      </c>
      <c r="B19" s="4" t="s">
        <v>20</v>
      </c>
      <c r="C19" s="7">
        <f>4004.15</f>
        <v>4004.15</v>
      </c>
      <c r="D19" s="1"/>
      <c r="E19" s="1"/>
      <c r="F19" s="1"/>
    </row>
    <row r="20" spans="1:6" ht="18.75">
      <c r="A20" s="3">
        <v>15</v>
      </c>
      <c r="B20" s="4" t="s">
        <v>21</v>
      </c>
      <c r="C20" s="7">
        <f>2669.43</f>
        <v>2669.43</v>
      </c>
      <c r="D20" s="1"/>
      <c r="E20" s="1"/>
      <c r="F20" s="1"/>
    </row>
    <row r="21" spans="1:6" ht="18.75">
      <c r="A21" s="3">
        <v>16</v>
      </c>
      <c r="B21" s="4" t="s">
        <v>22</v>
      </c>
      <c r="C21" s="7">
        <f>2669.43</f>
        <v>2669.43</v>
      </c>
      <c r="D21" s="1"/>
      <c r="E21" s="1"/>
      <c r="F21" s="1"/>
    </row>
    <row r="22" spans="1:6" ht="23.25" customHeight="1">
      <c r="A22" s="3">
        <v>17</v>
      </c>
      <c r="B22" s="4" t="s">
        <v>23</v>
      </c>
      <c r="C22" s="7">
        <f>39087</f>
        <v>39087</v>
      </c>
      <c r="D22" s="1"/>
      <c r="E22" s="1"/>
      <c r="F22" s="1"/>
    </row>
    <row r="23" spans="1:6" ht="22.5" customHeight="1">
      <c r="A23" s="3">
        <v>18</v>
      </c>
      <c r="B23" s="4" t="s">
        <v>24</v>
      </c>
      <c r="C23" s="7">
        <f>4852</f>
        <v>4852</v>
      </c>
      <c r="D23" s="1"/>
      <c r="E23" s="1"/>
      <c r="F23" s="1"/>
    </row>
    <row r="24" spans="1:6" ht="18.75">
      <c r="A24" s="5"/>
      <c r="B24" s="6" t="s">
        <v>6</v>
      </c>
      <c r="C24" s="8">
        <f>SUM(C6:C23)</f>
        <v>113747.88999999998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C24" sqref="C24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2"/>
      <c r="E1" s="12"/>
      <c r="F1" s="12"/>
    </row>
    <row r="2" spans="1:6" ht="18.75">
      <c r="A2" s="15" t="s">
        <v>4</v>
      </c>
      <c r="B2" s="15"/>
      <c r="C2" s="15"/>
      <c r="D2" s="13"/>
      <c r="E2" s="13"/>
      <c r="F2" s="13"/>
    </row>
    <row r="3" spans="1:6" ht="18.75">
      <c r="A3" s="15" t="s">
        <v>75</v>
      </c>
      <c r="B3" s="15"/>
      <c r="C3" s="15"/>
      <c r="D3" s="13"/>
      <c r="E3" s="13"/>
      <c r="F3" s="13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31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1497.46</f>
        <v>1497.46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69</v>
      </c>
      <c r="C9" s="7" t="s">
        <v>25</v>
      </c>
      <c r="D9" s="1"/>
      <c r="E9" s="1"/>
      <c r="F9" s="1"/>
    </row>
    <row r="10" spans="1:6" ht="37.5">
      <c r="A10" s="3">
        <v>5</v>
      </c>
      <c r="B10" s="4" t="s">
        <v>11</v>
      </c>
      <c r="C10" s="7">
        <f>436.8</f>
        <v>436.8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>
        <f>1798.04</f>
        <v>1798.04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>
        <f>3077</f>
        <v>3077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>
        <f>2403</f>
        <v>2403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>
        <f>178</f>
        <v>178</v>
      </c>
      <c r="D14" s="1"/>
      <c r="E14" s="1"/>
      <c r="F14" s="1"/>
    </row>
    <row r="15" spans="1:6" ht="18.75">
      <c r="A15" s="3">
        <v>10</v>
      </c>
      <c r="B15" s="4" t="s">
        <v>16</v>
      </c>
      <c r="C15" s="7">
        <f>3539.07</f>
        <v>3539.07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13993</f>
        <v>13993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>
        <f>4446.56</f>
        <v>4446.56</v>
      </c>
      <c r="D17" s="1"/>
      <c r="E17" s="1"/>
      <c r="F17" s="1"/>
    </row>
    <row r="18" spans="1:6" ht="18.75">
      <c r="A18" s="3">
        <v>13</v>
      </c>
      <c r="B18" s="4" t="s">
        <v>19</v>
      </c>
      <c r="C18" s="7">
        <f>6811.18</f>
        <v>6811.18</v>
      </c>
      <c r="D18" s="1"/>
      <c r="E18" s="1"/>
      <c r="F18" s="1"/>
    </row>
    <row r="19" spans="1:6" ht="18.75">
      <c r="A19" s="3">
        <v>14</v>
      </c>
      <c r="B19" s="4" t="s">
        <v>20</v>
      </c>
      <c r="C19" s="7">
        <f>4004.15</f>
        <v>4004.15</v>
      </c>
      <c r="D19" s="1"/>
      <c r="E19" s="1"/>
      <c r="F19" s="1"/>
    </row>
    <row r="20" spans="1:6" ht="18.75">
      <c r="A20" s="3">
        <v>15</v>
      </c>
      <c r="B20" s="4" t="s">
        <v>21</v>
      </c>
      <c r="C20" s="7">
        <f>2669.43</f>
        <v>2669.43</v>
      </c>
      <c r="D20" s="1"/>
      <c r="E20" s="1"/>
      <c r="F20" s="1"/>
    </row>
    <row r="21" spans="1:6" ht="18.75">
      <c r="A21" s="3">
        <v>16</v>
      </c>
      <c r="B21" s="4" t="s">
        <v>22</v>
      </c>
      <c r="C21" s="7">
        <f>4640</f>
        <v>4640</v>
      </c>
      <c r="D21" s="1"/>
      <c r="E21" s="1"/>
      <c r="F21" s="1"/>
    </row>
    <row r="22" spans="1:6" ht="23.25" customHeight="1">
      <c r="A22" s="3">
        <v>17</v>
      </c>
      <c r="B22" s="4" t="s">
        <v>23</v>
      </c>
      <c r="C22" s="7">
        <f>38944</f>
        <v>38944</v>
      </c>
      <c r="D22" s="1"/>
      <c r="E22" s="1"/>
      <c r="F22" s="1"/>
    </row>
    <row r="23" spans="1:6" ht="22.5" customHeight="1">
      <c r="A23" s="3">
        <v>18</v>
      </c>
      <c r="B23" s="4" t="s">
        <v>24</v>
      </c>
      <c r="C23" s="7">
        <f>4834</f>
        <v>4834</v>
      </c>
      <c r="D23" s="1"/>
      <c r="E23" s="1"/>
      <c r="F23" s="1"/>
    </row>
    <row r="24" spans="1:6" ht="18.75">
      <c r="A24" s="5"/>
      <c r="B24" s="6" t="s">
        <v>6</v>
      </c>
      <c r="C24" s="8">
        <f>SUM(C6:C23)</f>
        <v>97558.49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C24" sqref="C24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2"/>
      <c r="E1" s="12"/>
      <c r="F1" s="12"/>
    </row>
    <row r="2" spans="1:6" ht="18.75">
      <c r="A2" s="15" t="s">
        <v>4</v>
      </c>
      <c r="B2" s="15"/>
      <c r="C2" s="15"/>
      <c r="D2" s="13"/>
      <c r="E2" s="13"/>
      <c r="F2" s="13"/>
    </row>
    <row r="3" spans="1:6" ht="18.75">
      <c r="A3" s="15" t="s">
        <v>76</v>
      </c>
      <c r="B3" s="15"/>
      <c r="C3" s="15"/>
      <c r="D3" s="13"/>
      <c r="E3" s="13"/>
      <c r="F3" s="13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31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1489.27</f>
        <v>1489.27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69</v>
      </c>
      <c r="C9" s="7" t="s">
        <v>25</v>
      </c>
      <c r="D9" s="1"/>
      <c r="E9" s="1"/>
      <c r="F9" s="1"/>
    </row>
    <row r="10" spans="1:6" ht="37.5">
      <c r="A10" s="3">
        <v>5</v>
      </c>
      <c r="B10" s="4" t="s">
        <v>11</v>
      </c>
      <c r="C10" s="7">
        <f>436.8</f>
        <v>436.8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>
        <f>1798.04</f>
        <v>1798.04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>
        <f>2794</f>
        <v>2794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>
        <f>510</f>
        <v>510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>
        <f>1275</f>
        <v>1275</v>
      </c>
      <c r="D14" s="1"/>
      <c r="E14" s="1"/>
      <c r="F14" s="1"/>
    </row>
    <row r="15" spans="1:6" ht="18.75">
      <c r="A15" s="3">
        <v>10</v>
      </c>
      <c r="B15" s="4" t="s">
        <v>16</v>
      </c>
      <c r="C15" s="7">
        <f>2003.18</f>
        <v>2003.18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13888</f>
        <v>13888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>
        <f>4446.56</f>
        <v>4446.56</v>
      </c>
      <c r="D17" s="1"/>
      <c r="E17" s="1"/>
      <c r="F17" s="1"/>
    </row>
    <row r="18" spans="1:6" ht="18.75">
      <c r="A18" s="3">
        <v>13</v>
      </c>
      <c r="B18" s="4" t="s">
        <v>19</v>
      </c>
      <c r="C18" s="7">
        <f>6811.18</f>
        <v>6811.18</v>
      </c>
      <c r="D18" s="1"/>
      <c r="E18" s="1"/>
      <c r="F18" s="1"/>
    </row>
    <row r="19" spans="1:6" ht="18.75">
      <c r="A19" s="3">
        <v>14</v>
      </c>
      <c r="B19" s="4" t="s">
        <v>20</v>
      </c>
      <c r="C19" s="7">
        <f>4004.15</f>
        <v>4004.15</v>
      </c>
      <c r="D19" s="1"/>
      <c r="E19" s="1"/>
      <c r="F19" s="1"/>
    </row>
    <row r="20" spans="1:6" ht="18.75">
      <c r="A20" s="3">
        <v>15</v>
      </c>
      <c r="B20" s="4" t="s">
        <v>21</v>
      </c>
      <c r="C20" s="7">
        <f>2669.43</f>
        <v>2669.43</v>
      </c>
      <c r="D20" s="1"/>
      <c r="E20" s="1"/>
      <c r="F20" s="1"/>
    </row>
    <row r="21" spans="1:6" ht="18.75">
      <c r="A21" s="3">
        <v>16</v>
      </c>
      <c r="B21" s="4" t="s">
        <v>22</v>
      </c>
      <c r="C21" s="7">
        <f>2794</f>
        <v>2794</v>
      </c>
      <c r="D21" s="1"/>
      <c r="E21" s="1"/>
      <c r="F21" s="1"/>
    </row>
    <row r="22" spans="1:6" ht="23.25" customHeight="1">
      <c r="A22" s="3">
        <v>17</v>
      </c>
      <c r="B22" s="4" t="s">
        <v>23</v>
      </c>
      <c r="C22" s="7">
        <f>38651</f>
        <v>38651</v>
      </c>
      <c r="D22" s="1"/>
      <c r="E22" s="1"/>
      <c r="F22" s="1"/>
    </row>
    <row r="23" spans="1:6" ht="22.5" customHeight="1">
      <c r="A23" s="3">
        <v>18</v>
      </c>
      <c r="B23" s="4" t="s">
        <v>24</v>
      </c>
      <c r="C23" s="7">
        <f>4798</f>
        <v>4798</v>
      </c>
      <c r="D23" s="1"/>
      <c r="E23" s="1"/>
      <c r="F23" s="1"/>
    </row>
    <row r="24" spans="1:6" ht="18.75">
      <c r="A24" s="5"/>
      <c r="B24" s="6" t="s">
        <v>6</v>
      </c>
      <c r="C24" s="8">
        <f>SUM(C6:C23)</f>
        <v>92655.41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1">
      <selection activeCell="C25" sqref="C25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2"/>
      <c r="E1" s="12"/>
      <c r="F1" s="12"/>
    </row>
    <row r="2" spans="1:6" ht="18.75">
      <c r="A2" s="15" t="s">
        <v>4</v>
      </c>
      <c r="B2" s="15"/>
      <c r="C2" s="15"/>
      <c r="D2" s="13"/>
      <c r="E2" s="13"/>
      <c r="F2" s="13"/>
    </row>
    <row r="3" spans="1:6" ht="18.75">
      <c r="A3" s="15" t="s">
        <v>77</v>
      </c>
      <c r="B3" s="15"/>
      <c r="C3" s="15"/>
      <c r="D3" s="13"/>
      <c r="E3" s="13"/>
      <c r="F3" s="13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31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1442.23</f>
        <v>1442.23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69</v>
      </c>
      <c r="C9" s="7" t="s">
        <v>25</v>
      </c>
      <c r="D9" s="1"/>
      <c r="E9" s="1"/>
      <c r="F9" s="1"/>
    </row>
    <row r="10" spans="1:6" ht="37.5">
      <c r="A10" s="3">
        <v>5</v>
      </c>
      <c r="B10" s="4" t="s">
        <v>11</v>
      </c>
      <c r="C10" s="7">
        <f>436.8</f>
        <v>436.8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>
        <f>1798.04</f>
        <v>1798.04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>
        <f>1670</f>
        <v>1670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>
        <f>4650</f>
        <v>4650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>
        <f>3530</f>
        <v>3530</v>
      </c>
      <c r="D14" s="1"/>
      <c r="E14" s="1"/>
      <c r="F14" s="1"/>
    </row>
    <row r="15" spans="1:6" ht="18.75">
      <c r="A15" s="3">
        <v>10</v>
      </c>
      <c r="B15" s="4" t="s">
        <v>16</v>
      </c>
      <c r="C15" s="7">
        <f>1874.2</f>
        <v>1874.2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13890</f>
        <v>13890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>
        <f>4446.56</f>
        <v>4446.56</v>
      </c>
      <c r="D17" s="1"/>
      <c r="E17" s="1"/>
      <c r="F17" s="1"/>
    </row>
    <row r="18" spans="1:6" ht="18.75">
      <c r="A18" s="3">
        <v>13</v>
      </c>
      <c r="B18" s="4" t="s">
        <v>19</v>
      </c>
      <c r="C18" s="7">
        <f>6811.18</f>
        <v>6811.18</v>
      </c>
      <c r="D18" s="1"/>
      <c r="E18" s="1"/>
      <c r="F18" s="1"/>
    </row>
    <row r="19" spans="1:6" ht="18.75">
      <c r="A19" s="3">
        <v>14</v>
      </c>
      <c r="B19" s="4" t="s">
        <v>20</v>
      </c>
      <c r="C19" s="7">
        <f>5338.86</f>
        <v>5338.86</v>
      </c>
      <c r="D19" s="1"/>
      <c r="E19" s="1"/>
      <c r="F19" s="1"/>
    </row>
    <row r="20" spans="1:6" ht="18.75">
      <c r="A20" s="3">
        <v>15</v>
      </c>
      <c r="B20" s="4" t="s">
        <v>21</v>
      </c>
      <c r="C20" s="7">
        <f>4004.15</f>
        <v>4004.15</v>
      </c>
      <c r="D20" s="1"/>
      <c r="E20" s="1"/>
      <c r="F20" s="1"/>
    </row>
    <row r="21" spans="1:6" ht="18.75">
      <c r="A21" s="3">
        <v>16</v>
      </c>
      <c r="B21" s="4" t="s">
        <v>22</v>
      </c>
      <c r="C21" s="7">
        <f>4004.15</f>
        <v>4004.15</v>
      </c>
      <c r="D21" s="1"/>
      <c r="E21" s="1"/>
      <c r="F21" s="1"/>
    </row>
    <row r="22" spans="1:6" ht="23.25" customHeight="1">
      <c r="A22" s="3">
        <v>17</v>
      </c>
      <c r="B22" s="4" t="s">
        <v>23</v>
      </c>
      <c r="C22" s="7">
        <f>38663</f>
        <v>38663</v>
      </c>
      <c r="D22" s="1"/>
      <c r="E22" s="1"/>
      <c r="F22" s="1"/>
    </row>
    <row r="23" spans="1:6" ht="22.5" customHeight="1">
      <c r="A23" s="3">
        <v>18</v>
      </c>
      <c r="B23" s="4" t="s">
        <v>24</v>
      </c>
      <c r="C23" s="7">
        <f>4800</f>
        <v>4800</v>
      </c>
      <c r="D23" s="1"/>
      <c r="E23" s="1"/>
      <c r="F23" s="1"/>
    </row>
    <row r="24" spans="1:6" ht="18.75">
      <c r="A24" s="5"/>
      <c r="B24" s="6" t="s">
        <v>6</v>
      </c>
      <c r="C24" s="8">
        <f>SUM(C6:C23)</f>
        <v>101645.97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C24" sqref="C24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2"/>
      <c r="E1" s="12"/>
      <c r="F1" s="12"/>
    </row>
    <row r="2" spans="1:6" ht="18.75">
      <c r="A2" s="15" t="s">
        <v>4</v>
      </c>
      <c r="B2" s="15"/>
      <c r="C2" s="15"/>
      <c r="D2" s="13"/>
      <c r="E2" s="13"/>
      <c r="F2" s="13"/>
    </row>
    <row r="3" spans="1:6" ht="18.75">
      <c r="A3" s="15" t="s">
        <v>78</v>
      </c>
      <c r="B3" s="15"/>
      <c r="C3" s="15"/>
      <c r="D3" s="13"/>
      <c r="E3" s="13"/>
      <c r="F3" s="13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31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1488.64</f>
        <v>1488.64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69</v>
      </c>
      <c r="C9" s="7" t="s">
        <v>25</v>
      </c>
      <c r="D9" s="1"/>
      <c r="E9" s="1"/>
      <c r="F9" s="1"/>
    </row>
    <row r="10" spans="1:6" ht="37.5">
      <c r="A10" s="3">
        <v>5</v>
      </c>
      <c r="B10" s="4" t="s">
        <v>11</v>
      </c>
      <c r="C10" s="7">
        <f>436.8</f>
        <v>436.8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>
        <f>1798.04</f>
        <v>1798.04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>
        <f>867</f>
        <v>867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>
        <f>2410</f>
        <v>2410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>
        <f>3315</f>
        <v>3315</v>
      </c>
      <c r="D14" s="1"/>
      <c r="E14" s="1"/>
      <c r="F14" s="1"/>
    </row>
    <row r="15" spans="1:6" ht="18.75">
      <c r="A15" s="3">
        <v>10</v>
      </c>
      <c r="B15" s="4" t="s">
        <v>16</v>
      </c>
      <c r="C15" s="7">
        <f>2981.13</f>
        <v>2981.13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13787</f>
        <v>13787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>
        <f>4446.56</f>
        <v>4446.56</v>
      </c>
      <c r="D17" s="1"/>
      <c r="E17" s="1"/>
      <c r="F17" s="1"/>
    </row>
    <row r="18" spans="1:6" ht="18.75">
      <c r="A18" s="3">
        <v>13</v>
      </c>
      <c r="B18" s="4" t="s">
        <v>19</v>
      </c>
      <c r="C18" s="7">
        <f>6811.18</f>
        <v>6811.18</v>
      </c>
      <c r="D18" s="1"/>
      <c r="E18" s="1"/>
      <c r="F18" s="1"/>
    </row>
    <row r="19" spans="1:6" ht="18.75">
      <c r="A19" s="3">
        <v>14</v>
      </c>
      <c r="B19" s="4" t="s">
        <v>20</v>
      </c>
      <c r="C19" s="7">
        <f>4004.15</f>
        <v>4004.15</v>
      </c>
      <c r="D19" s="1"/>
      <c r="E19" s="1"/>
      <c r="F19" s="1"/>
    </row>
    <row r="20" spans="1:6" ht="18.75">
      <c r="A20" s="3">
        <v>15</v>
      </c>
      <c r="B20" s="4" t="s">
        <v>21</v>
      </c>
      <c r="C20" s="7">
        <f>2669.43</f>
        <v>2669.43</v>
      </c>
      <c r="D20" s="1"/>
      <c r="E20" s="1"/>
      <c r="F20" s="1"/>
    </row>
    <row r="21" spans="1:6" ht="18.75">
      <c r="A21" s="3">
        <v>16</v>
      </c>
      <c r="B21" s="4" t="s">
        <v>22</v>
      </c>
      <c r="C21" s="7">
        <f>2669.43</f>
        <v>2669.43</v>
      </c>
      <c r="D21" s="1"/>
      <c r="E21" s="1"/>
      <c r="F21" s="1"/>
    </row>
    <row r="22" spans="1:6" ht="23.25" customHeight="1">
      <c r="A22" s="3">
        <v>17</v>
      </c>
      <c r="B22" s="4" t="s">
        <v>23</v>
      </c>
      <c r="C22" s="7">
        <f>38370</f>
        <v>38370</v>
      </c>
      <c r="D22" s="1"/>
      <c r="E22" s="1"/>
      <c r="F22" s="1"/>
    </row>
    <row r="23" spans="1:6" ht="22.5" customHeight="1">
      <c r="A23" s="3">
        <v>18</v>
      </c>
      <c r="B23" s="4" t="s">
        <v>24</v>
      </c>
      <c r="C23" s="7">
        <f>4763</f>
        <v>4763</v>
      </c>
      <c r="D23" s="1"/>
      <c r="E23" s="1"/>
      <c r="F23" s="1"/>
    </row>
    <row r="24" spans="1:6" ht="18.75">
      <c r="A24" s="5"/>
      <c r="B24" s="6" t="s">
        <v>6</v>
      </c>
      <c r="C24" s="8">
        <f>SUM(C6:C23)</f>
        <v>95104.16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C24" sqref="C24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2"/>
      <c r="E1" s="12"/>
      <c r="F1" s="12"/>
    </row>
    <row r="2" spans="1:6" ht="18.75">
      <c r="A2" s="15" t="s">
        <v>4</v>
      </c>
      <c r="B2" s="15"/>
      <c r="C2" s="15"/>
      <c r="D2" s="13"/>
      <c r="E2" s="13"/>
      <c r="F2" s="13"/>
    </row>
    <row r="3" spans="1:6" ht="18.75">
      <c r="A3" s="15" t="s">
        <v>79</v>
      </c>
      <c r="B3" s="15"/>
      <c r="C3" s="15"/>
      <c r="D3" s="13"/>
      <c r="E3" s="13"/>
      <c r="F3" s="13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31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1497.67</f>
        <v>1497.67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69</v>
      </c>
      <c r="C9" s="7" t="s">
        <v>25</v>
      </c>
      <c r="D9" s="1"/>
      <c r="E9" s="1"/>
      <c r="F9" s="1"/>
    </row>
    <row r="10" spans="1:6" ht="37.5">
      <c r="A10" s="3">
        <v>5</v>
      </c>
      <c r="B10" s="4" t="s">
        <v>11</v>
      </c>
      <c r="C10" s="7">
        <f>436.8</f>
        <v>436.8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>
        <f>1798.04</f>
        <v>1798.04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>
        <f>843</f>
        <v>843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>
        <f>935</f>
        <v>935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>
        <f>3060</f>
        <v>3060</v>
      </c>
      <c r="D14" s="1"/>
      <c r="E14" s="1"/>
      <c r="F14" s="1"/>
    </row>
    <row r="15" spans="1:6" ht="18.75">
      <c r="A15" s="3">
        <v>10</v>
      </c>
      <c r="B15" s="4" t="s">
        <v>16</v>
      </c>
      <c r="C15" s="7">
        <f>2283.41</f>
        <v>2283.41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13894</f>
        <v>13894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>
        <f>4446.56</f>
        <v>4446.56</v>
      </c>
      <c r="D17" s="1"/>
      <c r="E17" s="1"/>
      <c r="F17" s="1"/>
    </row>
    <row r="18" spans="1:6" ht="18.75">
      <c r="A18" s="3">
        <v>13</v>
      </c>
      <c r="B18" s="4" t="s">
        <v>19</v>
      </c>
      <c r="C18" s="7">
        <f>6811.18</f>
        <v>6811.18</v>
      </c>
      <c r="D18" s="1"/>
      <c r="E18" s="1"/>
      <c r="F18" s="1"/>
    </row>
    <row r="19" spans="1:6" ht="18.75">
      <c r="A19" s="3">
        <v>14</v>
      </c>
      <c r="B19" s="4" t="s">
        <v>20</v>
      </c>
      <c r="C19" s="7">
        <f>4004.15</f>
        <v>4004.15</v>
      </c>
      <c r="D19" s="1"/>
      <c r="E19" s="1"/>
      <c r="F19" s="1"/>
    </row>
    <row r="20" spans="1:6" ht="18.75">
      <c r="A20" s="3">
        <v>15</v>
      </c>
      <c r="B20" s="4" t="s">
        <v>21</v>
      </c>
      <c r="C20" s="7">
        <f>2669.43</f>
        <v>2669.43</v>
      </c>
      <c r="D20" s="1"/>
      <c r="E20" s="1"/>
      <c r="F20" s="1"/>
    </row>
    <row r="21" spans="1:6" ht="18.75">
      <c r="A21" s="3">
        <v>16</v>
      </c>
      <c r="B21" s="4" t="s">
        <v>22</v>
      </c>
      <c r="C21" s="7">
        <f>2669.43</f>
        <v>2669.43</v>
      </c>
      <c r="D21" s="1"/>
      <c r="E21" s="1"/>
      <c r="F21" s="1"/>
    </row>
    <row r="22" spans="1:6" ht="23.25" customHeight="1">
      <c r="A22" s="3">
        <v>17</v>
      </c>
      <c r="B22" s="4" t="s">
        <v>23</v>
      </c>
      <c r="C22" s="7">
        <f>38669</f>
        <v>38669</v>
      </c>
      <c r="D22" s="1"/>
      <c r="E22" s="1"/>
      <c r="F22" s="1"/>
    </row>
    <row r="23" spans="1:6" ht="22.5" customHeight="1">
      <c r="A23" s="3">
        <v>18</v>
      </c>
      <c r="B23" s="4" t="s">
        <v>24</v>
      </c>
      <c r="C23" s="7">
        <f>4801</f>
        <v>4801</v>
      </c>
      <c r="D23" s="1"/>
      <c r="E23" s="1"/>
      <c r="F23" s="1"/>
    </row>
    <row r="24" spans="1:6" ht="18.75">
      <c r="A24" s="5"/>
      <c r="B24" s="6" t="s">
        <v>6</v>
      </c>
      <c r="C24" s="8">
        <f>SUM(C6:C23)</f>
        <v>93105.47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C24" sqref="C24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2"/>
      <c r="E1" s="12"/>
      <c r="F1" s="12"/>
    </row>
    <row r="2" spans="1:6" ht="18.75">
      <c r="A2" s="15" t="s">
        <v>4</v>
      </c>
      <c r="B2" s="15"/>
      <c r="C2" s="15"/>
      <c r="D2" s="13"/>
      <c r="E2" s="13"/>
      <c r="F2" s="13"/>
    </row>
    <row r="3" spans="1:6" ht="18.75">
      <c r="A3" s="15" t="s">
        <v>80</v>
      </c>
      <c r="B3" s="15"/>
      <c r="C3" s="15"/>
      <c r="D3" s="13"/>
      <c r="E3" s="13"/>
      <c r="F3" s="13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31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1540.09</f>
        <v>1540.09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69</v>
      </c>
      <c r="C9" s="7" t="s">
        <v>25</v>
      </c>
      <c r="D9" s="1"/>
      <c r="E9" s="1"/>
      <c r="F9" s="1"/>
    </row>
    <row r="10" spans="1:6" ht="37.5">
      <c r="A10" s="3">
        <v>5</v>
      </c>
      <c r="B10" s="4" t="s">
        <v>11</v>
      </c>
      <c r="C10" s="7">
        <f>873.6</f>
        <v>873.6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>
        <f>1798.04</f>
        <v>1798.04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>
        <f>2481</f>
        <v>2481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>
        <f>1923</f>
        <v>1923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>
        <f>2666</f>
        <v>2666</v>
      </c>
      <c r="D14" s="1"/>
      <c r="E14" s="1"/>
      <c r="F14" s="1"/>
    </row>
    <row r="15" spans="1:6" ht="18.75">
      <c r="A15" s="3">
        <v>10</v>
      </c>
      <c r="B15" s="4" t="s">
        <v>16</v>
      </c>
      <c r="C15" s="7">
        <f>13823</f>
        <v>13823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14121</f>
        <v>14121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>
        <f>4446.56</f>
        <v>4446.56</v>
      </c>
      <c r="D17" s="1"/>
      <c r="E17" s="1"/>
      <c r="F17" s="1"/>
    </row>
    <row r="18" spans="1:6" ht="18.75">
      <c r="A18" s="3">
        <v>13</v>
      </c>
      <c r="B18" s="4" t="s">
        <v>19</v>
      </c>
      <c r="C18" s="7">
        <f>6811.18</f>
        <v>6811.18</v>
      </c>
      <c r="D18" s="1"/>
      <c r="E18" s="1"/>
      <c r="F18" s="1"/>
    </row>
    <row r="19" spans="1:6" ht="18.75">
      <c r="A19" s="3">
        <v>14</v>
      </c>
      <c r="B19" s="4" t="s">
        <v>20</v>
      </c>
      <c r="C19" s="7">
        <f>5338.86</f>
        <v>5338.86</v>
      </c>
      <c r="D19" s="1"/>
      <c r="E19" s="1"/>
      <c r="F19" s="1"/>
    </row>
    <row r="20" spans="1:6" ht="18.75">
      <c r="A20" s="3">
        <v>15</v>
      </c>
      <c r="B20" s="4" t="s">
        <v>21</v>
      </c>
      <c r="C20" s="7">
        <f>2669.43</f>
        <v>2669.43</v>
      </c>
      <c r="D20" s="1"/>
      <c r="E20" s="1"/>
      <c r="F20" s="1"/>
    </row>
    <row r="21" spans="1:6" ht="18.75">
      <c r="A21" s="3">
        <v>16</v>
      </c>
      <c r="B21" s="4" t="s">
        <v>22</v>
      </c>
      <c r="C21" s="7">
        <f>2669.43</f>
        <v>2669.43</v>
      </c>
      <c r="D21" s="1"/>
      <c r="E21" s="1"/>
      <c r="F21" s="1"/>
    </row>
    <row r="22" spans="1:6" ht="23.25" customHeight="1">
      <c r="A22" s="3">
        <v>17</v>
      </c>
      <c r="B22" s="4" t="s">
        <v>23</v>
      </c>
      <c r="C22" s="7">
        <f>39301</f>
        <v>39301</v>
      </c>
      <c r="D22" s="1"/>
      <c r="E22" s="1"/>
      <c r="F22" s="1"/>
    </row>
    <row r="23" spans="1:6" ht="22.5" customHeight="1">
      <c r="A23" s="3">
        <v>18</v>
      </c>
      <c r="B23" s="4" t="s">
        <v>24</v>
      </c>
      <c r="C23" s="7">
        <f>4879</f>
        <v>4879</v>
      </c>
      <c r="D23" s="1"/>
      <c r="E23" s="1"/>
      <c r="F23" s="1"/>
    </row>
    <row r="24" spans="1:6" ht="18.75">
      <c r="A24" s="5"/>
      <c r="B24" s="6" t="s">
        <v>6</v>
      </c>
      <c r="C24" s="8">
        <f>SUM(C6:C23)</f>
        <v>109627.98999999999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9">
      <selection activeCell="C24" sqref="C24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4</v>
      </c>
      <c r="B2" s="15"/>
      <c r="C2" s="15"/>
      <c r="D2" s="10"/>
      <c r="E2" s="10"/>
      <c r="F2" s="10"/>
    </row>
    <row r="3" spans="1:6" ht="18.75">
      <c r="A3" s="15" t="s">
        <v>65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28</v>
      </c>
      <c r="C6" s="7">
        <f>11411.2</f>
        <v>11411.2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698.11</f>
        <v>698.11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29</v>
      </c>
      <c r="C9" s="7">
        <f>226</f>
        <v>226</v>
      </c>
      <c r="D9" s="1"/>
      <c r="E9" s="1"/>
      <c r="F9" s="1"/>
    </row>
    <row r="10" spans="1:6" ht="37.5">
      <c r="A10" s="3">
        <v>5</v>
      </c>
      <c r="B10" s="4" t="s">
        <v>11</v>
      </c>
      <c r="C10" s="7">
        <f>166.4</f>
        <v>166.4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>
        <f>1798.04</f>
        <v>1798.04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>
        <f>795</f>
        <v>795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 t="s">
        <v>25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>
        <f>8311</f>
        <v>8311</v>
      </c>
      <c r="D14" s="1"/>
      <c r="E14" s="1"/>
      <c r="F14" s="1"/>
    </row>
    <row r="15" spans="1:6" ht="18.75">
      <c r="A15" s="3">
        <v>10</v>
      </c>
      <c r="B15" s="4" t="s">
        <v>16</v>
      </c>
      <c r="C15" s="7">
        <f>1305.19</f>
        <v>1305.19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5550</f>
        <v>5550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>
        <f>1976.33</f>
        <v>1976.33</v>
      </c>
      <c r="D17" s="1"/>
      <c r="E17" s="1"/>
      <c r="F17" s="1"/>
    </row>
    <row r="18" spans="1:6" ht="18.75">
      <c r="A18" s="3">
        <v>13</v>
      </c>
      <c r="B18" s="4" t="s">
        <v>19</v>
      </c>
      <c r="C18" s="7">
        <f>3405.59</f>
        <v>3405.59</v>
      </c>
      <c r="D18" s="1"/>
      <c r="E18" s="1"/>
      <c r="F18" s="1"/>
    </row>
    <row r="19" spans="1:6" ht="18.75">
      <c r="A19" s="3">
        <v>14</v>
      </c>
      <c r="B19" s="4" t="s">
        <v>20</v>
      </c>
      <c r="C19" s="7">
        <f>1334.72</f>
        <v>1334.72</v>
      </c>
      <c r="D19" s="1"/>
      <c r="E19" s="1"/>
      <c r="F19" s="1"/>
    </row>
    <row r="20" spans="1:6" ht="18.75">
      <c r="A20" s="3">
        <v>15</v>
      </c>
      <c r="B20" s="4" t="s">
        <v>21</v>
      </c>
      <c r="C20" s="7">
        <f>1334.72</f>
        <v>1334.72</v>
      </c>
      <c r="D20" s="1"/>
      <c r="E20" s="1"/>
      <c r="F20" s="1"/>
    </row>
    <row r="21" spans="1:6" ht="18.75">
      <c r="A21" s="3">
        <v>16</v>
      </c>
      <c r="B21" s="4" t="s">
        <v>22</v>
      </c>
      <c r="C21" s="7">
        <f>1334.72</f>
        <v>1334.72</v>
      </c>
      <c r="D21" s="1"/>
      <c r="E21" s="1"/>
      <c r="F21" s="1"/>
    </row>
    <row r="22" spans="1:6" ht="23.25" customHeight="1">
      <c r="A22" s="3">
        <v>17</v>
      </c>
      <c r="B22" s="4" t="s">
        <v>23</v>
      </c>
      <c r="C22" s="7">
        <f>15445</f>
        <v>15445</v>
      </c>
      <c r="D22" s="1"/>
      <c r="E22" s="1"/>
      <c r="F22" s="1"/>
    </row>
    <row r="23" spans="1:6" ht="22.5" customHeight="1">
      <c r="A23" s="3">
        <v>18</v>
      </c>
      <c r="B23" s="4" t="s">
        <v>24</v>
      </c>
      <c r="C23" s="7">
        <f>1917</f>
        <v>1917</v>
      </c>
      <c r="D23" s="1"/>
      <c r="E23" s="1"/>
      <c r="F23" s="1"/>
    </row>
    <row r="24" spans="1:6" ht="18.75">
      <c r="A24" s="5"/>
      <c r="B24" s="6" t="s">
        <v>6</v>
      </c>
      <c r="C24" s="8">
        <f>SUM(C6:C23)</f>
        <v>58443.020000000004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C24" sqref="C24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2"/>
      <c r="E1" s="12"/>
      <c r="F1" s="12"/>
    </row>
    <row r="2" spans="1:6" ht="18.75">
      <c r="A2" s="15" t="s">
        <v>4</v>
      </c>
      <c r="B2" s="15"/>
      <c r="C2" s="15"/>
      <c r="D2" s="13"/>
      <c r="E2" s="13"/>
      <c r="F2" s="13"/>
    </row>
    <row r="3" spans="1:6" ht="18.75">
      <c r="A3" s="15" t="s">
        <v>81</v>
      </c>
      <c r="B3" s="15"/>
      <c r="C3" s="15"/>
      <c r="D3" s="13"/>
      <c r="E3" s="13"/>
      <c r="F3" s="13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31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1535.26</f>
        <v>1535.26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69</v>
      </c>
      <c r="C9" s="7" t="s">
        <v>25</v>
      </c>
      <c r="D9" s="1"/>
      <c r="E9" s="1"/>
      <c r="F9" s="1"/>
    </row>
    <row r="10" spans="1:6" ht="37.5">
      <c r="A10" s="3">
        <v>5</v>
      </c>
      <c r="B10" s="4" t="s">
        <v>11</v>
      </c>
      <c r="C10" s="7">
        <f>873.6</f>
        <v>873.6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>
        <f>1798.04</f>
        <v>1798.04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>
        <f>2489</f>
        <v>2489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>
        <f>2004</f>
        <v>2004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>
        <f>2769</f>
        <v>2769</v>
      </c>
      <c r="D14" s="1"/>
      <c r="E14" s="1"/>
      <c r="F14" s="1"/>
    </row>
    <row r="15" spans="1:6" ht="18.75">
      <c r="A15" s="3">
        <v>10</v>
      </c>
      <c r="B15" s="4" t="s">
        <v>16</v>
      </c>
      <c r="C15" s="7">
        <f>2559.35</f>
        <v>2559.35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13975</f>
        <v>13975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>
        <f>4446.56</f>
        <v>4446.56</v>
      </c>
      <c r="D17" s="1"/>
      <c r="E17" s="1"/>
      <c r="F17" s="1"/>
    </row>
    <row r="18" spans="1:6" ht="18.75">
      <c r="A18" s="3">
        <v>13</v>
      </c>
      <c r="B18" s="4" t="s">
        <v>19</v>
      </c>
      <c r="C18" s="7">
        <f>6811.18</f>
        <v>6811.18</v>
      </c>
      <c r="D18" s="1"/>
      <c r="E18" s="1"/>
      <c r="F18" s="1"/>
    </row>
    <row r="19" spans="1:6" ht="18.75">
      <c r="A19" s="3">
        <v>14</v>
      </c>
      <c r="B19" s="4" t="s">
        <v>20</v>
      </c>
      <c r="C19" s="7">
        <f>4004.15</f>
        <v>4004.15</v>
      </c>
      <c r="D19" s="1"/>
      <c r="E19" s="1"/>
      <c r="F19" s="1"/>
    </row>
    <row r="20" spans="1:6" ht="18.75">
      <c r="A20" s="3">
        <v>15</v>
      </c>
      <c r="B20" s="4" t="s">
        <v>21</v>
      </c>
      <c r="C20" s="7">
        <f>4004.15</f>
        <v>4004.15</v>
      </c>
      <c r="D20" s="1"/>
      <c r="E20" s="1"/>
      <c r="F20" s="1"/>
    </row>
    <row r="21" spans="1:6" ht="18.75">
      <c r="A21" s="3">
        <v>16</v>
      </c>
      <c r="B21" s="4" t="s">
        <v>22</v>
      </c>
      <c r="C21" s="7">
        <f>2669.43</f>
        <v>2669.43</v>
      </c>
      <c r="D21" s="1"/>
      <c r="E21" s="1"/>
      <c r="F21" s="1"/>
    </row>
    <row r="22" spans="1:6" ht="23.25" customHeight="1">
      <c r="A22" s="3">
        <v>17</v>
      </c>
      <c r="B22" s="4" t="s">
        <v>23</v>
      </c>
      <c r="C22" s="7">
        <f>38892</f>
        <v>38892</v>
      </c>
      <c r="D22" s="1"/>
      <c r="E22" s="1"/>
      <c r="F22" s="1"/>
    </row>
    <row r="23" spans="1:6" ht="22.5" customHeight="1">
      <c r="A23" s="3">
        <v>18</v>
      </c>
      <c r="B23" s="4" t="s">
        <v>24</v>
      </c>
      <c r="C23" s="7">
        <f>4828</f>
        <v>4828</v>
      </c>
      <c r="D23" s="1"/>
      <c r="E23" s="1"/>
      <c r="F23" s="1"/>
    </row>
    <row r="24" spans="1:6" ht="18.75">
      <c r="A24" s="5"/>
      <c r="B24" s="6" t="s">
        <v>6</v>
      </c>
      <c r="C24" s="8">
        <f>SUM(C6:C23)</f>
        <v>97945.52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C24" sqref="C24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2"/>
      <c r="E1" s="12"/>
      <c r="F1" s="12"/>
    </row>
    <row r="2" spans="1:6" ht="18.75">
      <c r="A2" s="15" t="s">
        <v>4</v>
      </c>
      <c r="B2" s="15"/>
      <c r="C2" s="15"/>
      <c r="D2" s="13"/>
      <c r="E2" s="13"/>
      <c r="F2" s="13"/>
    </row>
    <row r="3" spans="1:6" ht="18.75">
      <c r="A3" s="15" t="s">
        <v>82</v>
      </c>
      <c r="B3" s="15"/>
      <c r="C3" s="15"/>
      <c r="D3" s="13"/>
      <c r="E3" s="13"/>
      <c r="F3" s="13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31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1505.86</f>
        <v>1505.86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69</v>
      </c>
      <c r="C9" s="7" t="s">
        <v>25</v>
      </c>
      <c r="D9" s="1"/>
      <c r="E9" s="1"/>
      <c r="F9" s="1"/>
    </row>
    <row r="10" spans="1:6" ht="37.5">
      <c r="A10" s="3">
        <v>5</v>
      </c>
      <c r="B10" s="4" t="s">
        <v>11</v>
      </c>
      <c r="C10" s="7">
        <f>873.6</f>
        <v>873.6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>
        <f>1798.04</f>
        <v>1798.04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>
        <f>2282</f>
        <v>2282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>
        <f>153</f>
        <v>153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>
        <f>2619</f>
        <v>2619</v>
      </c>
      <c r="D14" s="1"/>
      <c r="E14" s="1"/>
      <c r="F14" s="1"/>
    </row>
    <row r="15" spans="1:6" ht="18.75">
      <c r="A15" s="3">
        <v>10</v>
      </c>
      <c r="B15" s="4" t="s">
        <v>16</v>
      </c>
      <c r="C15" s="7">
        <f>3117.76</f>
        <v>3117.76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14022</f>
        <v>14022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>
        <f>4446.56</f>
        <v>4446.56</v>
      </c>
      <c r="D17" s="1"/>
      <c r="E17" s="1"/>
      <c r="F17" s="1"/>
    </row>
    <row r="18" spans="1:6" ht="18.75">
      <c r="A18" s="3">
        <v>13</v>
      </c>
      <c r="B18" s="4" t="s">
        <v>19</v>
      </c>
      <c r="C18" s="7">
        <f>6811.18</f>
        <v>6811.18</v>
      </c>
      <c r="D18" s="1"/>
      <c r="E18" s="1"/>
      <c r="F18" s="1"/>
    </row>
    <row r="19" spans="1:6" ht="18.75">
      <c r="A19" s="3">
        <v>14</v>
      </c>
      <c r="B19" s="4" t="s">
        <v>20</v>
      </c>
      <c r="C19" s="7" t="s">
        <v>25</v>
      </c>
      <c r="D19" s="1"/>
      <c r="E19" s="1"/>
      <c r="F19" s="1"/>
    </row>
    <row r="20" spans="1:6" ht="18.75">
      <c r="A20" s="3">
        <v>15</v>
      </c>
      <c r="B20" s="4" t="s">
        <v>21</v>
      </c>
      <c r="C20" s="7">
        <f>2669.43</f>
        <v>2669.43</v>
      </c>
      <c r="D20" s="1"/>
      <c r="E20" s="1"/>
      <c r="F20" s="1"/>
    </row>
    <row r="21" spans="1:6" ht="18.75">
      <c r="A21" s="3">
        <v>16</v>
      </c>
      <c r="B21" s="4" t="s">
        <v>22</v>
      </c>
      <c r="C21" s="7">
        <f>2669.43</f>
        <v>2669.43</v>
      </c>
      <c r="D21" s="1"/>
      <c r="E21" s="1"/>
      <c r="F21" s="1"/>
    </row>
    <row r="22" spans="1:6" ht="23.25" customHeight="1">
      <c r="A22" s="3">
        <v>17</v>
      </c>
      <c r="B22" s="4" t="s">
        <v>23</v>
      </c>
      <c r="C22" s="7">
        <f>39023</f>
        <v>39023</v>
      </c>
      <c r="D22" s="1"/>
      <c r="E22" s="1"/>
      <c r="F22" s="1"/>
    </row>
    <row r="23" spans="1:6" ht="22.5" customHeight="1">
      <c r="A23" s="3">
        <v>18</v>
      </c>
      <c r="B23" s="4" t="s">
        <v>24</v>
      </c>
      <c r="C23" s="7">
        <f>4844</f>
        <v>4844</v>
      </c>
      <c r="D23" s="1"/>
      <c r="E23" s="1"/>
      <c r="F23" s="1"/>
    </row>
    <row r="24" spans="1:6" ht="18.75">
      <c r="A24" s="5"/>
      <c r="B24" s="6" t="s">
        <v>6</v>
      </c>
      <c r="C24" s="8">
        <f>SUM(C6:C23)</f>
        <v>91121.66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1">
      <selection activeCell="C24" sqref="C24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2"/>
      <c r="E1" s="12"/>
      <c r="F1" s="12"/>
    </row>
    <row r="2" spans="1:6" ht="18.75">
      <c r="A2" s="15" t="s">
        <v>4</v>
      </c>
      <c r="B2" s="15"/>
      <c r="C2" s="15"/>
      <c r="D2" s="13"/>
      <c r="E2" s="13"/>
      <c r="F2" s="13"/>
    </row>
    <row r="3" spans="1:6" ht="18.75">
      <c r="A3" s="15" t="s">
        <v>83</v>
      </c>
      <c r="B3" s="15"/>
      <c r="C3" s="15"/>
      <c r="D3" s="13"/>
      <c r="E3" s="13"/>
      <c r="F3" s="13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31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1501.44</f>
        <v>1501.44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32</v>
      </c>
      <c r="C9" s="7">
        <f>113</f>
        <v>113</v>
      </c>
      <c r="D9" s="1"/>
      <c r="E9" s="1"/>
      <c r="F9" s="1"/>
    </row>
    <row r="10" spans="1:6" ht="37.5">
      <c r="A10" s="3">
        <v>5</v>
      </c>
      <c r="B10" s="4" t="s">
        <v>11</v>
      </c>
      <c r="C10" s="7">
        <f>873.6</f>
        <v>873.6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>
        <f>1798.04</f>
        <v>1798.04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>
        <f>477</f>
        <v>477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 t="s">
        <v>25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>
        <f>6357</f>
        <v>6357</v>
      </c>
      <c r="D14" s="1"/>
      <c r="E14" s="1"/>
      <c r="F14" s="1"/>
    </row>
    <row r="15" spans="1:6" ht="18.75">
      <c r="A15" s="3">
        <v>10</v>
      </c>
      <c r="B15" s="4" t="s">
        <v>16</v>
      </c>
      <c r="C15" s="7">
        <f>941.21</f>
        <v>941.21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13902</f>
        <v>13902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>
        <f>4446.56</f>
        <v>4446.56</v>
      </c>
      <c r="D17" s="1"/>
      <c r="E17" s="1"/>
      <c r="F17" s="1"/>
    </row>
    <row r="18" spans="1:6" ht="40.5" customHeight="1">
      <c r="A18" s="3">
        <v>13</v>
      </c>
      <c r="B18" s="4" t="s">
        <v>39</v>
      </c>
      <c r="C18" s="7">
        <f>14718.45</f>
        <v>14718.45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6811.18</f>
        <v>6811.18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f>4004.15</f>
        <v>4004.15</v>
      </c>
      <c r="D20" s="1"/>
      <c r="E20" s="1"/>
      <c r="F20" s="1"/>
    </row>
    <row r="21" spans="1:6" ht="18.75">
      <c r="A21" s="3">
        <v>16</v>
      </c>
      <c r="B21" s="4" t="s">
        <v>21</v>
      </c>
      <c r="C21" s="7">
        <f>2669.43</f>
        <v>2669.43</v>
      </c>
      <c r="D21" s="1"/>
      <c r="E21" s="1"/>
      <c r="F21" s="1"/>
    </row>
    <row r="22" spans="1:6" ht="18.75">
      <c r="A22" s="3">
        <v>17</v>
      </c>
      <c r="B22" s="4" t="s">
        <v>22</v>
      </c>
      <c r="C22" s="7">
        <f>2669.43</f>
        <v>2669.43</v>
      </c>
      <c r="D22" s="1"/>
      <c r="E22" s="1"/>
      <c r="F22" s="1"/>
    </row>
    <row r="23" spans="1:6" ht="23.25" customHeight="1">
      <c r="A23" s="3">
        <v>18</v>
      </c>
      <c r="B23" s="4" t="s">
        <v>23</v>
      </c>
      <c r="C23" s="7">
        <f>38690</f>
        <v>38690</v>
      </c>
      <c r="D23" s="1"/>
      <c r="E23" s="1"/>
      <c r="F23" s="1"/>
    </row>
    <row r="24" spans="1:6" ht="22.5" customHeight="1">
      <c r="A24" s="3">
        <v>19</v>
      </c>
      <c r="B24" s="4" t="s">
        <v>24</v>
      </c>
      <c r="C24" s="7">
        <f>4803</f>
        <v>4803</v>
      </c>
      <c r="D24" s="1"/>
      <c r="E24" s="1"/>
      <c r="F24" s="1"/>
    </row>
    <row r="25" spans="1:6" ht="18.75">
      <c r="A25" s="5"/>
      <c r="B25" s="6" t="s">
        <v>6</v>
      </c>
      <c r="C25" s="8">
        <f>SUM(C6:C24)</f>
        <v>109062.29000000001</v>
      </c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  <row r="36" spans="1:6" ht="18.75">
      <c r="A36" s="1"/>
      <c r="B36" s="1"/>
      <c r="C36" s="1"/>
      <c r="D36" s="1"/>
      <c r="E36" s="1"/>
      <c r="F36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C24" sqref="C24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2"/>
      <c r="E1" s="12"/>
      <c r="F1" s="12"/>
    </row>
    <row r="2" spans="1:6" ht="18.75">
      <c r="A2" s="15" t="s">
        <v>4</v>
      </c>
      <c r="B2" s="15"/>
      <c r="C2" s="15"/>
      <c r="D2" s="13"/>
      <c r="E2" s="13"/>
      <c r="F2" s="13"/>
    </row>
    <row r="3" spans="1:6" ht="18.75">
      <c r="A3" s="15" t="s">
        <v>84</v>
      </c>
      <c r="B3" s="15"/>
      <c r="C3" s="15"/>
      <c r="D3" s="13"/>
      <c r="E3" s="13"/>
      <c r="F3" s="13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31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1539.66</f>
        <v>1539.66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69</v>
      </c>
      <c r="C9" s="7" t="s">
        <v>25</v>
      </c>
      <c r="D9" s="1"/>
      <c r="E9" s="1"/>
      <c r="F9" s="1"/>
    </row>
    <row r="10" spans="1:6" ht="37.5">
      <c r="A10" s="3">
        <v>5</v>
      </c>
      <c r="B10" s="4" t="s">
        <v>11</v>
      </c>
      <c r="C10" s="7">
        <f>873.6</f>
        <v>873.6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>
        <f>1798.04</f>
        <v>1798.04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>
        <f>2473</f>
        <v>2473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>
        <f>7856</f>
        <v>7856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>
        <f>12140</f>
        <v>12140</v>
      </c>
      <c r="D14" s="1"/>
      <c r="E14" s="1"/>
      <c r="F14" s="1"/>
    </row>
    <row r="15" spans="1:6" ht="18.75">
      <c r="A15" s="3">
        <v>10</v>
      </c>
      <c r="B15" s="4" t="s">
        <v>16</v>
      </c>
      <c r="C15" s="7">
        <f>15617.71</f>
        <v>15617.71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14010</f>
        <v>14010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>
        <f>4446.56</f>
        <v>4446.56</v>
      </c>
      <c r="D17" s="1"/>
      <c r="E17" s="1"/>
      <c r="F17" s="1"/>
    </row>
    <row r="18" spans="1:6" ht="18.75">
      <c r="A18" s="3">
        <v>13</v>
      </c>
      <c r="B18" s="4" t="s">
        <v>19</v>
      </c>
      <c r="C18" s="7">
        <f>6811.18</f>
        <v>6811.18</v>
      </c>
      <c r="D18" s="1"/>
      <c r="E18" s="1"/>
      <c r="F18" s="1"/>
    </row>
    <row r="19" spans="1:6" ht="18.75">
      <c r="A19" s="3">
        <v>14</v>
      </c>
      <c r="B19" s="4" t="s">
        <v>20</v>
      </c>
      <c r="C19" s="7">
        <f>5338.86</f>
        <v>5338.86</v>
      </c>
      <c r="D19" s="1"/>
      <c r="E19" s="1"/>
      <c r="F19" s="1"/>
    </row>
    <row r="20" spans="1:6" ht="18.75">
      <c r="A20" s="3">
        <v>15</v>
      </c>
      <c r="B20" s="4" t="s">
        <v>21</v>
      </c>
      <c r="C20" s="7">
        <f>2669.43</f>
        <v>2669.43</v>
      </c>
      <c r="D20" s="1"/>
      <c r="E20" s="1"/>
      <c r="F20" s="1"/>
    </row>
    <row r="21" spans="1:6" ht="18.75">
      <c r="A21" s="3">
        <v>16</v>
      </c>
      <c r="B21" s="4" t="s">
        <v>22</v>
      </c>
      <c r="C21" s="7">
        <f>2669.43</f>
        <v>2669.43</v>
      </c>
      <c r="D21" s="1"/>
      <c r="E21" s="1"/>
      <c r="F21" s="1"/>
    </row>
    <row r="22" spans="1:6" ht="23.25" customHeight="1">
      <c r="A22" s="3">
        <v>17</v>
      </c>
      <c r="B22" s="4" t="s">
        <v>23</v>
      </c>
      <c r="C22" s="7">
        <f>38990</f>
        <v>38990</v>
      </c>
      <c r="D22" s="1"/>
      <c r="E22" s="1"/>
      <c r="F22" s="1"/>
    </row>
    <row r="23" spans="1:6" ht="22.5" customHeight="1">
      <c r="A23" s="3">
        <v>18</v>
      </c>
      <c r="B23" s="4" t="s">
        <v>24</v>
      </c>
      <c r="C23" s="7">
        <f>4840</f>
        <v>4840</v>
      </c>
      <c r="D23" s="1"/>
      <c r="E23" s="1"/>
      <c r="F23" s="1"/>
    </row>
    <row r="24" spans="1:6" ht="18.75">
      <c r="A24" s="5"/>
      <c r="B24" s="6" t="s">
        <v>6</v>
      </c>
      <c r="C24" s="8">
        <f>SUM(C6:C23)</f>
        <v>126360.26999999997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2">
      <selection activeCell="C24" sqref="C24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2"/>
      <c r="E1" s="12"/>
      <c r="F1" s="12"/>
    </row>
    <row r="2" spans="1:6" ht="18.75">
      <c r="A2" s="15" t="s">
        <v>4</v>
      </c>
      <c r="B2" s="15"/>
      <c r="C2" s="15"/>
      <c r="D2" s="13"/>
      <c r="E2" s="13"/>
      <c r="F2" s="13"/>
    </row>
    <row r="3" spans="1:6" ht="18.75">
      <c r="A3" s="15" t="s">
        <v>85</v>
      </c>
      <c r="B3" s="15"/>
      <c r="C3" s="15"/>
      <c r="D3" s="13"/>
      <c r="E3" s="13"/>
      <c r="F3" s="13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31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1449.5</f>
        <v>1449.5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69</v>
      </c>
      <c r="C9" s="7" t="s">
        <v>25</v>
      </c>
      <c r="D9" s="1"/>
      <c r="E9" s="1"/>
      <c r="F9" s="1"/>
    </row>
    <row r="10" spans="1:6" ht="37.5">
      <c r="A10" s="3">
        <v>5</v>
      </c>
      <c r="B10" s="4" t="s">
        <v>11</v>
      </c>
      <c r="C10" s="7">
        <f>873.6</f>
        <v>873.6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>
        <f>1798.04</f>
        <v>1798.04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 t="s">
        <v>25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>
        <f>113</f>
        <v>113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>
        <f>5479</f>
        <v>5479</v>
      </c>
      <c r="D14" s="1"/>
      <c r="E14" s="1"/>
      <c r="F14" s="1"/>
    </row>
    <row r="15" spans="1:6" ht="18.75">
      <c r="A15" s="3">
        <v>10</v>
      </c>
      <c r="B15" s="4" t="s">
        <v>16</v>
      </c>
      <c r="C15" s="7">
        <f>4291.16</f>
        <v>4291.16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13976</f>
        <v>13976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>
        <f>4446.56</f>
        <v>4446.56</v>
      </c>
      <c r="D17" s="1"/>
      <c r="E17" s="1"/>
      <c r="F17" s="1"/>
    </row>
    <row r="18" spans="1:6" ht="18.75">
      <c r="A18" s="3">
        <v>13</v>
      </c>
      <c r="B18" s="4" t="s">
        <v>19</v>
      </c>
      <c r="C18" s="7">
        <f>6811.18</f>
        <v>6811.18</v>
      </c>
      <c r="D18" s="1"/>
      <c r="E18" s="1"/>
      <c r="F18" s="1"/>
    </row>
    <row r="19" spans="1:6" ht="18.75">
      <c r="A19" s="3">
        <v>14</v>
      </c>
      <c r="B19" s="4" t="s">
        <v>20</v>
      </c>
      <c r="C19" s="7">
        <f>4004.15</f>
        <v>4004.15</v>
      </c>
      <c r="D19" s="1"/>
      <c r="E19" s="1"/>
      <c r="F19" s="1"/>
    </row>
    <row r="20" spans="1:6" ht="18.75">
      <c r="A20" s="3">
        <v>15</v>
      </c>
      <c r="B20" s="4" t="s">
        <v>21</v>
      </c>
      <c r="C20" s="7">
        <f>2669.43</f>
        <v>2669.43</v>
      </c>
      <c r="D20" s="1"/>
      <c r="E20" s="1"/>
      <c r="F20" s="1"/>
    </row>
    <row r="21" spans="1:6" ht="18.75">
      <c r="A21" s="3">
        <v>16</v>
      </c>
      <c r="B21" s="4" t="s">
        <v>22</v>
      </c>
      <c r="C21" s="7">
        <f>2669.43</f>
        <v>2669.43</v>
      </c>
      <c r="D21" s="1"/>
      <c r="E21" s="1"/>
      <c r="F21" s="1"/>
    </row>
    <row r="22" spans="1:6" ht="23.25" customHeight="1">
      <c r="A22" s="3">
        <v>17</v>
      </c>
      <c r="B22" s="4" t="s">
        <v>23</v>
      </c>
      <c r="C22" s="7">
        <f>38895</f>
        <v>38895</v>
      </c>
      <c r="D22" s="1"/>
      <c r="E22" s="1"/>
      <c r="F22" s="1"/>
    </row>
    <row r="23" spans="1:6" ht="22.5" customHeight="1">
      <c r="A23" s="3">
        <v>18</v>
      </c>
      <c r="B23" s="4" t="s">
        <v>24</v>
      </c>
      <c r="C23" s="7">
        <f>4829</f>
        <v>4829</v>
      </c>
      <c r="D23" s="1"/>
      <c r="E23" s="1"/>
      <c r="F23" s="1"/>
    </row>
    <row r="24" spans="1:6" ht="18.75">
      <c r="A24" s="5"/>
      <c r="B24" s="6" t="s">
        <v>6</v>
      </c>
      <c r="C24" s="8">
        <f>SUM(C6:C23)</f>
        <v>96591.85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C24" sqref="C24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2"/>
      <c r="E1" s="12"/>
      <c r="F1" s="12"/>
    </row>
    <row r="2" spans="1:6" ht="18.75">
      <c r="A2" s="15" t="s">
        <v>4</v>
      </c>
      <c r="B2" s="15"/>
      <c r="C2" s="15"/>
      <c r="D2" s="13"/>
      <c r="E2" s="13"/>
      <c r="F2" s="13"/>
    </row>
    <row r="3" spans="1:6" ht="18.75">
      <c r="A3" s="15" t="s">
        <v>86</v>
      </c>
      <c r="B3" s="15"/>
      <c r="C3" s="15"/>
      <c r="D3" s="13"/>
      <c r="E3" s="13"/>
      <c r="F3" s="13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31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1497.04</f>
        <v>1497.04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29</v>
      </c>
      <c r="C9" s="7">
        <f>226</f>
        <v>226</v>
      </c>
      <c r="D9" s="1"/>
      <c r="E9" s="1"/>
      <c r="F9" s="1"/>
    </row>
    <row r="10" spans="1:6" ht="37.5">
      <c r="A10" s="3">
        <v>5</v>
      </c>
      <c r="B10" s="4" t="s">
        <v>11</v>
      </c>
      <c r="C10" s="7">
        <f>873.6</f>
        <v>873.6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>
        <f>1798.04</f>
        <v>1798.04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>
        <f>1590</f>
        <v>1590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>
        <f>828</f>
        <v>828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>
        <f>5904</f>
        <v>5904</v>
      </c>
      <c r="D14" s="1"/>
      <c r="E14" s="1"/>
      <c r="F14" s="1"/>
    </row>
    <row r="15" spans="1:6" ht="18.75">
      <c r="A15" s="3">
        <v>10</v>
      </c>
      <c r="B15" s="4" t="s">
        <v>16</v>
      </c>
      <c r="C15" s="7">
        <f>3268.79</f>
        <v>3268.79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13819</f>
        <v>13819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>
        <f>4446.56</f>
        <v>4446.56</v>
      </c>
      <c r="D17" s="1"/>
      <c r="E17" s="1"/>
      <c r="F17" s="1"/>
    </row>
    <row r="18" spans="1:6" ht="18.75">
      <c r="A18" s="3">
        <v>13</v>
      </c>
      <c r="B18" s="4" t="s">
        <v>19</v>
      </c>
      <c r="C18" s="7">
        <f>6811.18</f>
        <v>6811.18</v>
      </c>
      <c r="D18" s="1"/>
      <c r="E18" s="1"/>
      <c r="F18" s="1"/>
    </row>
    <row r="19" spans="1:6" ht="18.75">
      <c r="A19" s="3">
        <v>14</v>
      </c>
      <c r="B19" s="4" t="s">
        <v>20</v>
      </c>
      <c r="C19" s="7">
        <f>4004.15</f>
        <v>4004.15</v>
      </c>
      <c r="D19" s="1"/>
      <c r="E19" s="1"/>
      <c r="F19" s="1"/>
    </row>
    <row r="20" spans="1:6" ht="18.75">
      <c r="A20" s="3">
        <v>15</v>
      </c>
      <c r="B20" s="4" t="s">
        <v>21</v>
      </c>
      <c r="C20" s="7">
        <f>2669.43</f>
        <v>2669.43</v>
      </c>
      <c r="D20" s="1"/>
      <c r="E20" s="1"/>
      <c r="F20" s="1"/>
    </row>
    <row r="21" spans="1:6" ht="18.75">
      <c r="A21" s="3">
        <v>16</v>
      </c>
      <c r="B21" s="4" t="s">
        <v>22</v>
      </c>
      <c r="C21" s="7">
        <f>5039</f>
        <v>5039</v>
      </c>
      <c r="D21" s="1"/>
      <c r="E21" s="1"/>
      <c r="F21" s="1"/>
    </row>
    <row r="22" spans="1:6" ht="23.25" customHeight="1">
      <c r="A22" s="3">
        <v>17</v>
      </c>
      <c r="B22" s="4" t="s">
        <v>23</v>
      </c>
      <c r="C22" s="7">
        <f>38458</f>
        <v>38458</v>
      </c>
      <c r="D22" s="1"/>
      <c r="E22" s="1"/>
      <c r="F22" s="1"/>
    </row>
    <row r="23" spans="1:6" ht="22.5" customHeight="1">
      <c r="A23" s="3">
        <v>18</v>
      </c>
      <c r="B23" s="4" t="s">
        <v>24</v>
      </c>
      <c r="C23" s="7">
        <f>4774</f>
        <v>4774</v>
      </c>
      <c r="D23" s="1"/>
      <c r="E23" s="1"/>
      <c r="F23" s="1"/>
    </row>
    <row r="24" spans="1:6" ht="18.75">
      <c r="A24" s="5"/>
      <c r="B24" s="6" t="s">
        <v>6</v>
      </c>
      <c r="C24" s="8">
        <f>SUM(C6:C23)</f>
        <v>100293.59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C24" sqref="C24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2"/>
      <c r="E1" s="12"/>
      <c r="F1" s="12"/>
    </row>
    <row r="2" spans="1:6" ht="18.75">
      <c r="A2" s="15" t="s">
        <v>4</v>
      </c>
      <c r="B2" s="15"/>
      <c r="C2" s="15"/>
      <c r="D2" s="13"/>
      <c r="E2" s="13"/>
      <c r="F2" s="13"/>
    </row>
    <row r="3" spans="1:6" ht="18.75">
      <c r="A3" s="15" t="s">
        <v>87</v>
      </c>
      <c r="B3" s="15"/>
      <c r="C3" s="15"/>
      <c r="D3" s="13"/>
      <c r="E3" s="13"/>
      <c r="F3" s="13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31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1507.53</f>
        <v>1507.53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52</v>
      </c>
      <c r="C9" s="7">
        <f>452</f>
        <v>452</v>
      </c>
      <c r="D9" s="1"/>
      <c r="E9" s="1"/>
      <c r="F9" s="1"/>
    </row>
    <row r="10" spans="1:6" ht="37.5">
      <c r="A10" s="3">
        <v>5</v>
      </c>
      <c r="B10" s="4" t="s">
        <v>11</v>
      </c>
      <c r="C10" s="7">
        <f>873.6</f>
        <v>873.6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>
        <f>1798.04</f>
        <v>1798.04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>
        <f>435</f>
        <v>435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>
        <f>23790</f>
        <v>23790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>
        <f>4715</f>
        <v>4715</v>
      </c>
      <c r="D14" s="1"/>
      <c r="E14" s="1"/>
      <c r="F14" s="1"/>
    </row>
    <row r="15" spans="1:6" ht="18.75">
      <c r="A15" s="3">
        <v>10</v>
      </c>
      <c r="B15" s="4" t="s">
        <v>16</v>
      </c>
      <c r="C15" s="7">
        <f>25944.41</f>
        <v>25944.41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14072</f>
        <v>14072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>
        <f>4446.56</f>
        <v>4446.56</v>
      </c>
      <c r="D17" s="1"/>
      <c r="E17" s="1"/>
      <c r="F17" s="1"/>
    </row>
    <row r="18" spans="1:6" ht="18.75">
      <c r="A18" s="3">
        <v>13</v>
      </c>
      <c r="B18" s="4" t="s">
        <v>19</v>
      </c>
      <c r="C18" s="7">
        <f>6811.18</f>
        <v>6811.18</v>
      </c>
      <c r="D18" s="1"/>
      <c r="E18" s="1"/>
      <c r="F18" s="1"/>
    </row>
    <row r="19" spans="1:6" ht="18.75">
      <c r="A19" s="3">
        <v>14</v>
      </c>
      <c r="B19" s="4" t="s">
        <v>20</v>
      </c>
      <c r="C19" s="7">
        <f>4004.15</f>
        <v>4004.15</v>
      </c>
      <c r="D19" s="1"/>
      <c r="E19" s="1"/>
      <c r="F19" s="1"/>
    </row>
    <row r="20" spans="1:6" ht="18.75">
      <c r="A20" s="3">
        <v>15</v>
      </c>
      <c r="B20" s="4" t="s">
        <v>21</v>
      </c>
      <c r="C20" s="7">
        <f>2669.43</f>
        <v>2669.43</v>
      </c>
      <c r="D20" s="1"/>
      <c r="E20" s="1"/>
      <c r="F20" s="1"/>
    </row>
    <row r="21" spans="1:6" ht="18.75">
      <c r="A21" s="3">
        <v>16</v>
      </c>
      <c r="B21" s="4" t="s">
        <v>22</v>
      </c>
      <c r="C21" s="7">
        <f>2669.43</f>
        <v>2669.43</v>
      </c>
      <c r="D21" s="1"/>
      <c r="E21" s="1"/>
      <c r="F21" s="1"/>
    </row>
    <row r="22" spans="1:6" ht="23.25" customHeight="1">
      <c r="A22" s="3">
        <v>17</v>
      </c>
      <c r="B22" s="4" t="s">
        <v>23</v>
      </c>
      <c r="C22" s="7">
        <f>39164</f>
        <v>39164</v>
      </c>
      <c r="D22" s="1"/>
      <c r="E22" s="1"/>
      <c r="F22" s="1"/>
    </row>
    <row r="23" spans="1:6" ht="22.5" customHeight="1">
      <c r="A23" s="3">
        <v>18</v>
      </c>
      <c r="B23" s="4" t="s">
        <v>24</v>
      </c>
      <c r="C23" s="7">
        <f>4862</f>
        <v>4862</v>
      </c>
      <c r="D23" s="1"/>
      <c r="E23" s="1"/>
      <c r="F23" s="1"/>
    </row>
    <row r="24" spans="1:6" ht="18.75">
      <c r="A24" s="5"/>
      <c r="B24" s="6" t="s">
        <v>6</v>
      </c>
      <c r="C24" s="8">
        <f>SUM(C6:C23)</f>
        <v>142501.12999999998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2"/>
      <c r="E1" s="12"/>
      <c r="F1" s="12"/>
    </row>
    <row r="2" spans="1:6" ht="18.75">
      <c r="A2" s="15" t="s">
        <v>4</v>
      </c>
      <c r="B2" s="15"/>
      <c r="C2" s="15"/>
      <c r="D2" s="13"/>
      <c r="E2" s="13"/>
      <c r="F2" s="13"/>
    </row>
    <row r="3" spans="1:6" ht="18.75">
      <c r="A3" s="15" t="s">
        <v>88</v>
      </c>
      <c r="B3" s="15"/>
      <c r="C3" s="15"/>
      <c r="D3" s="13"/>
      <c r="E3" s="13"/>
      <c r="F3" s="13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31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1739.16</f>
        <v>1739.16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>
        <f>2140</f>
        <v>2140</v>
      </c>
      <c r="D8" s="1"/>
      <c r="E8" s="1"/>
      <c r="F8" s="1"/>
    </row>
    <row r="9" spans="1:6" ht="18" customHeight="1">
      <c r="A9" s="3">
        <v>4</v>
      </c>
      <c r="B9" s="4" t="s">
        <v>36</v>
      </c>
      <c r="C9" s="7">
        <f>339</f>
        <v>339</v>
      </c>
      <c r="D9" s="1"/>
      <c r="E9" s="1"/>
      <c r="F9" s="1"/>
    </row>
    <row r="10" spans="1:6" ht="37.5">
      <c r="A10" s="3">
        <v>5</v>
      </c>
      <c r="B10" s="4" t="s">
        <v>11</v>
      </c>
      <c r="C10" s="7">
        <f>1019.2</f>
        <v>1019.2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>
        <f>1798.04</f>
        <v>1798.04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>
        <f>2227</f>
        <v>2227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>
        <f>30626</f>
        <v>30626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>
        <f>12527</f>
        <v>12527</v>
      </c>
      <c r="D14" s="1"/>
      <c r="E14" s="1"/>
      <c r="F14" s="1"/>
    </row>
    <row r="15" spans="1:6" ht="18.75">
      <c r="A15" s="3">
        <v>10</v>
      </c>
      <c r="B15" s="4" t="s">
        <v>16</v>
      </c>
      <c r="C15" s="7">
        <f>56745.5</f>
        <v>56745.5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16196</f>
        <v>16196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>
        <f>8587.53</f>
        <v>8587.53</v>
      </c>
      <c r="D17" s="1"/>
      <c r="E17" s="1"/>
      <c r="F17" s="1"/>
    </row>
    <row r="18" spans="1:6" ht="18.75">
      <c r="A18" s="3">
        <v>13</v>
      </c>
      <c r="B18" s="4" t="s">
        <v>19</v>
      </c>
      <c r="C18" s="7">
        <f>6811.18</f>
        <v>6811.18</v>
      </c>
      <c r="D18" s="1"/>
      <c r="E18" s="1"/>
      <c r="F18" s="1"/>
    </row>
    <row r="19" spans="1:6" ht="18.75">
      <c r="A19" s="3">
        <v>14</v>
      </c>
      <c r="B19" s="4" t="s">
        <v>20</v>
      </c>
      <c r="C19" s="7">
        <f>5338.86</f>
        <v>5338.86</v>
      </c>
      <c r="D19" s="1"/>
      <c r="E19" s="1"/>
      <c r="F19" s="1"/>
    </row>
    <row r="20" spans="1:6" ht="18.75">
      <c r="A20" s="3">
        <v>15</v>
      </c>
      <c r="B20" s="4" t="s">
        <v>21</v>
      </c>
      <c r="C20" s="7">
        <f>4004.15</f>
        <v>4004.15</v>
      </c>
      <c r="D20" s="1"/>
      <c r="E20" s="1"/>
      <c r="F20" s="1"/>
    </row>
    <row r="21" spans="1:6" ht="18.75">
      <c r="A21" s="3">
        <v>16</v>
      </c>
      <c r="B21" s="4" t="s">
        <v>22</v>
      </c>
      <c r="C21" s="7">
        <f>4004.15</f>
        <v>4004.15</v>
      </c>
      <c r="D21" s="1"/>
      <c r="E21" s="1"/>
      <c r="F21" s="1"/>
    </row>
    <row r="22" spans="1:6" ht="23.25" customHeight="1">
      <c r="A22" s="3">
        <v>17</v>
      </c>
      <c r="B22" s="4" t="s">
        <v>23</v>
      </c>
      <c r="C22" s="7">
        <f>45074</f>
        <v>45074</v>
      </c>
      <c r="D22" s="1"/>
      <c r="E22" s="1"/>
      <c r="F22" s="1"/>
    </row>
    <row r="23" spans="1:6" ht="22.5" customHeight="1">
      <c r="A23" s="3">
        <v>18</v>
      </c>
      <c r="B23" s="4" t="s">
        <v>24</v>
      </c>
      <c r="C23" s="7">
        <f>4862</f>
        <v>4862</v>
      </c>
      <c r="D23" s="1"/>
      <c r="E23" s="1"/>
      <c r="F23" s="1"/>
    </row>
    <row r="24" spans="1:6" ht="18.75">
      <c r="A24" s="5"/>
      <c r="B24" s="6" t="s">
        <v>6</v>
      </c>
      <c r="C24" s="8">
        <f>SUM(C6:C23)</f>
        <v>206891.56999999998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1">
      <selection activeCell="C25" sqref="C25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2"/>
      <c r="E1" s="12"/>
      <c r="F1" s="12"/>
    </row>
    <row r="2" spans="1:6" ht="18.75">
      <c r="A2" s="15" t="s">
        <v>4</v>
      </c>
      <c r="B2" s="15"/>
      <c r="C2" s="15"/>
      <c r="D2" s="13"/>
      <c r="E2" s="13"/>
      <c r="F2" s="13"/>
    </row>
    <row r="3" spans="1:6" ht="18.75">
      <c r="A3" s="15" t="s">
        <v>89</v>
      </c>
      <c r="B3" s="15"/>
      <c r="C3" s="15"/>
      <c r="D3" s="13"/>
      <c r="E3" s="13"/>
      <c r="F3" s="13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31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1526.65</f>
        <v>1526.65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69</v>
      </c>
      <c r="C9" s="7" t="s">
        <v>25</v>
      </c>
      <c r="D9" s="1"/>
      <c r="E9" s="1"/>
      <c r="F9" s="1"/>
    </row>
    <row r="10" spans="1:6" ht="37.5">
      <c r="A10" s="3">
        <v>5</v>
      </c>
      <c r="B10" s="4" t="s">
        <v>11</v>
      </c>
      <c r="C10" s="7">
        <f>873.6</f>
        <v>873.6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>
        <f>1798.04</f>
        <v>1798.04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>
        <f>3984</f>
        <v>3984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 t="s">
        <v>25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>
        <f>1873</f>
        <v>1873</v>
      </c>
      <c r="D14" s="1"/>
      <c r="E14" s="1"/>
      <c r="F14" s="1"/>
    </row>
    <row r="15" spans="1:6" ht="18.75">
      <c r="A15" s="3">
        <v>10</v>
      </c>
      <c r="B15" s="4" t="s">
        <v>16</v>
      </c>
      <c r="C15" s="7">
        <f>250.24</f>
        <v>250.24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13725</f>
        <v>13725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>
        <f>4446.56</f>
        <v>4446.56</v>
      </c>
      <c r="D17" s="1"/>
      <c r="E17" s="1"/>
      <c r="F17" s="1"/>
    </row>
    <row r="18" spans="1:6" ht="18.75">
      <c r="A18" s="3">
        <v>13</v>
      </c>
      <c r="B18" s="4" t="s">
        <v>19</v>
      </c>
      <c r="C18" s="7">
        <f>6811.18</f>
        <v>6811.18</v>
      </c>
      <c r="D18" s="1"/>
      <c r="E18" s="1"/>
      <c r="F18" s="1"/>
    </row>
    <row r="19" spans="1:6" ht="18.75">
      <c r="A19" s="3">
        <v>14</v>
      </c>
      <c r="B19" s="4" t="s">
        <v>20</v>
      </c>
      <c r="C19" s="7">
        <f>4004.15</f>
        <v>4004.15</v>
      </c>
      <c r="D19" s="1"/>
      <c r="E19" s="1"/>
      <c r="F19" s="1"/>
    </row>
    <row r="20" spans="1:6" ht="18.75">
      <c r="A20" s="3">
        <v>15</v>
      </c>
      <c r="B20" s="4" t="s">
        <v>21</v>
      </c>
      <c r="C20" s="7">
        <f>2669.43</f>
        <v>2669.43</v>
      </c>
      <c r="D20" s="1"/>
      <c r="E20" s="1"/>
      <c r="F20" s="1"/>
    </row>
    <row r="21" spans="1:6" ht="18.75">
      <c r="A21" s="3">
        <v>16</v>
      </c>
      <c r="B21" s="4" t="s">
        <v>22</v>
      </c>
      <c r="C21" s="7">
        <f>2669.43</f>
        <v>2669.43</v>
      </c>
      <c r="D21" s="1"/>
      <c r="E21" s="1"/>
      <c r="F21" s="1"/>
    </row>
    <row r="22" spans="1:6" ht="23.25" customHeight="1">
      <c r="A22" s="3">
        <v>17</v>
      </c>
      <c r="B22" s="4" t="s">
        <v>23</v>
      </c>
      <c r="C22" s="7">
        <f>38837</f>
        <v>38837</v>
      </c>
      <c r="D22" s="1"/>
      <c r="E22" s="1"/>
      <c r="F22" s="1"/>
    </row>
    <row r="23" spans="1:6" ht="22.5" customHeight="1">
      <c r="A23" s="3">
        <v>18</v>
      </c>
      <c r="B23" s="4" t="s">
        <v>24</v>
      </c>
      <c r="C23" s="7">
        <f>4821</f>
        <v>4821</v>
      </c>
      <c r="D23" s="1"/>
      <c r="E23" s="1"/>
      <c r="F23" s="1"/>
    </row>
    <row r="24" spans="1:6" ht="18.75">
      <c r="A24" s="5"/>
      <c r="B24" s="6" t="s">
        <v>6</v>
      </c>
      <c r="C24" s="8">
        <f>SUM(C6:C23)</f>
        <v>92576.08000000002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C24" sqref="C24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2"/>
      <c r="E1" s="12"/>
      <c r="F1" s="12"/>
    </row>
    <row r="2" spans="1:6" ht="18.75">
      <c r="A2" s="15" t="s">
        <v>4</v>
      </c>
      <c r="B2" s="15"/>
      <c r="C2" s="15"/>
      <c r="D2" s="13"/>
      <c r="E2" s="13"/>
      <c r="F2" s="13"/>
    </row>
    <row r="3" spans="1:6" ht="18.75">
      <c r="A3" s="15" t="s">
        <v>90</v>
      </c>
      <c r="B3" s="15"/>
      <c r="C3" s="15"/>
      <c r="D3" s="13"/>
      <c r="E3" s="13"/>
      <c r="F3" s="13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31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1519.92</f>
        <v>1519.92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69</v>
      </c>
      <c r="C9" s="7" t="s">
        <v>25</v>
      </c>
      <c r="D9" s="1"/>
      <c r="E9" s="1"/>
      <c r="F9" s="1"/>
    </row>
    <row r="10" spans="1:6" ht="37.5">
      <c r="A10" s="3">
        <v>5</v>
      </c>
      <c r="B10" s="4" t="s">
        <v>11</v>
      </c>
      <c r="C10" s="7">
        <f>873.6</f>
        <v>873.6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>
        <f>1798.04</f>
        <v>1798.04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>
        <f>5566</f>
        <v>5566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 t="s">
        <v>25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>
        <f>2640</f>
        <v>2640</v>
      </c>
      <c r="D14" s="1"/>
      <c r="E14" s="1"/>
      <c r="F14" s="1"/>
    </row>
    <row r="15" spans="1:6" ht="18.75">
      <c r="A15" s="3">
        <v>10</v>
      </c>
      <c r="B15" s="4" t="s">
        <v>16</v>
      </c>
      <c r="C15" s="7">
        <f>326.3</f>
        <v>326.3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13793</f>
        <v>13793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>
        <f>4446.56</f>
        <v>4446.56</v>
      </c>
      <c r="D17" s="1"/>
      <c r="E17" s="1"/>
      <c r="F17" s="1"/>
    </row>
    <row r="18" spans="1:6" ht="18.75">
      <c r="A18" s="3">
        <v>13</v>
      </c>
      <c r="B18" s="4" t="s">
        <v>19</v>
      </c>
      <c r="C18" s="7">
        <f>6811.18</f>
        <v>6811.18</v>
      </c>
      <c r="D18" s="1"/>
      <c r="E18" s="1"/>
      <c r="F18" s="1"/>
    </row>
    <row r="19" spans="1:6" ht="18.75">
      <c r="A19" s="3">
        <v>14</v>
      </c>
      <c r="B19" s="4" t="s">
        <v>20</v>
      </c>
      <c r="C19" s="7">
        <f>4004.15</f>
        <v>4004.15</v>
      </c>
      <c r="D19" s="1"/>
      <c r="E19" s="1"/>
      <c r="F19" s="1"/>
    </row>
    <row r="20" spans="1:6" ht="18.75">
      <c r="A20" s="3">
        <v>15</v>
      </c>
      <c r="B20" s="4" t="s">
        <v>21</v>
      </c>
      <c r="C20" s="7">
        <f>2669.43</f>
        <v>2669.43</v>
      </c>
      <c r="D20" s="1"/>
      <c r="E20" s="1"/>
      <c r="F20" s="1"/>
    </row>
    <row r="21" spans="1:6" ht="18.75">
      <c r="A21" s="3">
        <v>16</v>
      </c>
      <c r="B21" s="4" t="s">
        <v>22</v>
      </c>
      <c r="C21" s="7">
        <f>2669.43</f>
        <v>2669.43</v>
      </c>
      <c r="D21" s="1"/>
      <c r="E21" s="1"/>
      <c r="F21" s="1"/>
    </row>
    <row r="22" spans="1:6" ht="23.25" customHeight="1">
      <c r="A22" s="3">
        <v>17</v>
      </c>
      <c r="B22" s="4" t="s">
        <v>23</v>
      </c>
      <c r="C22" s="7">
        <f>38388</f>
        <v>38388</v>
      </c>
      <c r="D22" s="1"/>
      <c r="E22" s="1"/>
      <c r="F22" s="1"/>
    </row>
    <row r="23" spans="1:6" ht="22.5" customHeight="1">
      <c r="A23" s="3">
        <v>18</v>
      </c>
      <c r="B23" s="4" t="s">
        <v>24</v>
      </c>
      <c r="C23" s="7">
        <f>4766</f>
        <v>4766</v>
      </c>
      <c r="D23" s="1"/>
      <c r="E23" s="1"/>
      <c r="F23" s="1"/>
    </row>
    <row r="24" spans="1:6" ht="18.75">
      <c r="A24" s="5"/>
      <c r="B24" s="6" t="s">
        <v>6</v>
      </c>
      <c r="C24" s="8">
        <f>SUM(C6:C23)</f>
        <v>94558.41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8">
      <selection activeCell="C16" sqref="C16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4</v>
      </c>
      <c r="B2" s="15"/>
      <c r="C2" s="15"/>
      <c r="D2" s="10"/>
      <c r="E2" s="10"/>
      <c r="F2" s="10"/>
    </row>
    <row r="3" spans="1:6" ht="18.75">
      <c r="A3" s="15" t="s">
        <v>30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31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1540.93</f>
        <v>1540.93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>
        <v>2140</v>
      </c>
      <c r="D8" s="1"/>
      <c r="E8" s="1"/>
      <c r="F8" s="1"/>
    </row>
    <row r="9" spans="1:6" ht="18" customHeight="1">
      <c r="A9" s="3">
        <v>4</v>
      </c>
      <c r="B9" s="4" t="s">
        <v>32</v>
      </c>
      <c r="C9" s="7">
        <f>113</f>
        <v>113</v>
      </c>
      <c r="D9" s="1"/>
      <c r="E9" s="1"/>
      <c r="F9" s="1"/>
    </row>
    <row r="10" spans="1:6" ht="37.5">
      <c r="A10" s="3">
        <v>5</v>
      </c>
      <c r="B10" s="4" t="s">
        <v>11</v>
      </c>
      <c r="C10" s="7">
        <f>426.4</f>
        <v>426.4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>
        <f>1798.04</f>
        <v>1798.04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>
        <f>814</f>
        <v>814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 t="s">
        <v>25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>
        <f>9730</f>
        <v>9730</v>
      </c>
      <c r="D14" s="1"/>
      <c r="E14" s="1"/>
      <c r="F14" s="1"/>
    </row>
    <row r="15" spans="1:6" ht="18.75">
      <c r="A15" s="3">
        <v>10</v>
      </c>
      <c r="B15" s="4" t="s">
        <v>16</v>
      </c>
      <c r="C15" s="7">
        <f>2450.49</f>
        <v>2450.49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13625</f>
        <v>13625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>
        <f>4446.56</f>
        <v>4446.56</v>
      </c>
      <c r="D17" s="1"/>
      <c r="E17" s="1"/>
      <c r="F17" s="1"/>
    </row>
    <row r="18" spans="1:6" ht="18.75">
      <c r="A18" s="3">
        <v>13</v>
      </c>
      <c r="B18" s="4" t="s">
        <v>19</v>
      </c>
      <c r="C18" s="7">
        <f>6811.18</f>
        <v>6811.18</v>
      </c>
      <c r="D18" s="1"/>
      <c r="E18" s="1"/>
      <c r="F18" s="1"/>
    </row>
    <row r="19" spans="1:6" ht="18.75">
      <c r="A19" s="3">
        <v>14</v>
      </c>
      <c r="B19" s="4" t="s">
        <v>20</v>
      </c>
      <c r="C19" s="7">
        <f>2669.43</f>
        <v>2669.43</v>
      </c>
      <c r="D19" s="1"/>
      <c r="E19" s="1"/>
      <c r="F19" s="1"/>
    </row>
    <row r="20" spans="1:6" ht="18.75">
      <c r="A20" s="3">
        <v>15</v>
      </c>
      <c r="B20" s="4" t="s">
        <v>21</v>
      </c>
      <c r="C20" s="7">
        <f>2669.43</f>
        <v>2669.43</v>
      </c>
      <c r="D20" s="1"/>
      <c r="E20" s="1"/>
      <c r="F20" s="1"/>
    </row>
    <row r="21" spans="1:6" ht="18.75">
      <c r="A21" s="3">
        <v>16</v>
      </c>
      <c r="B21" s="4" t="s">
        <v>22</v>
      </c>
      <c r="C21" s="7">
        <f>2669.43</f>
        <v>2669.43</v>
      </c>
      <c r="D21" s="1"/>
      <c r="E21" s="1"/>
      <c r="F21" s="1"/>
    </row>
    <row r="22" spans="1:6" ht="23.25" customHeight="1">
      <c r="A22" s="3">
        <v>17</v>
      </c>
      <c r="B22" s="4" t="s">
        <v>23</v>
      </c>
      <c r="C22" s="7">
        <f>37918</f>
        <v>37918</v>
      </c>
      <c r="D22" s="1"/>
      <c r="E22" s="1"/>
      <c r="F22" s="1"/>
    </row>
    <row r="23" spans="1:6" ht="22.5" customHeight="1">
      <c r="A23" s="3">
        <v>18</v>
      </c>
      <c r="B23" s="4" t="s">
        <v>24</v>
      </c>
      <c r="C23" s="7">
        <f>4707</f>
        <v>4707</v>
      </c>
      <c r="D23" s="1"/>
      <c r="E23" s="1"/>
      <c r="F23" s="1"/>
    </row>
    <row r="24" spans="1:6" ht="18.75">
      <c r="A24" s="5"/>
      <c r="B24" s="6" t="s">
        <v>6</v>
      </c>
      <c r="C24" s="8">
        <f>SUM(C6:C23)</f>
        <v>97381.69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2">
      <selection activeCell="C25" sqref="C25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2"/>
      <c r="E1" s="12"/>
      <c r="F1" s="12"/>
    </row>
    <row r="2" spans="1:6" ht="18.75">
      <c r="A2" s="15" t="s">
        <v>4</v>
      </c>
      <c r="B2" s="15"/>
      <c r="C2" s="15"/>
      <c r="D2" s="13"/>
      <c r="E2" s="13"/>
      <c r="F2" s="13"/>
    </row>
    <row r="3" spans="1:6" ht="18.75">
      <c r="A3" s="15" t="s">
        <v>91</v>
      </c>
      <c r="B3" s="15"/>
      <c r="C3" s="15"/>
      <c r="D3" s="13"/>
      <c r="E3" s="13"/>
      <c r="F3" s="13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31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1609.59</f>
        <v>1609.59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32</v>
      </c>
      <c r="C9" s="7">
        <f>113</f>
        <v>113</v>
      </c>
      <c r="D9" s="1"/>
      <c r="E9" s="1"/>
      <c r="F9" s="1"/>
    </row>
    <row r="10" spans="1:6" ht="37.5">
      <c r="A10" s="3">
        <v>5</v>
      </c>
      <c r="B10" s="4" t="s">
        <v>11</v>
      </c>
      <c r="C10" s="7">
        <f>873.6</f>
        <v>873.6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>
        <f>1798.04</f>
        <v>1798.04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>
        <f>716</f>
        <v>716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>
        <f>222</f>
        <v>222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>
        <f>93</f>
        <v>93</v>
      </c>
      <c r="D14" s="1"/>
      <c r="E14" s="1"/>
      <c r="F14" s="1"/>
    </row>
    <row r="15" spans="1:6" ht="18.75">
      <c r="A15" s="3">
        <v>10</v>
      </c>
      <c r="B15" s="4" t="s">
        <v>16</v>
      </c>
      <c r="C15" s="7">
        <f>322.16</f>
        <v>322.16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14832</f>
        <v>14832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>
        <f>4446.56</f>
        <v>4446.56</v>
      </c>
      <c r="D17" s="1"/>
      <c r="E17" s="1"/>
      <c r="F17" s="1"/>
    </row>
    <row r="18" spans="1:6" ht="40.5" customHeight="1">
      <c r="A18" s="3">
        <v>13</v>
      </c>
      <c r="B18" s="4" t="s">
        <v>39</v>
      </c>
      <c r="C18" s="7">
        <f>14178.45</f>
        <v>14178.45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6811.18</f>
        <v>6811.18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f>2669.43</f>
        <v>2669.43</v>
      </c>
      <c r="D20" s="1"/>
      <c r="E20" s="1"/>
      <c r="F20" s="1"/>
    </row>
    <row r="21" spans="1:6" ht="18.75">
      <c r="A21" s="3">
        <v>16</v>
      </c>
      <c r="B21" s="4" t="s">
        <v>21</v>
      </c>
      <c r="C21" s="7">
        <f>2669.43</f>
        <v>2669.43</v>
      </c>
      <c r="D21" s="1"/>
      <c r="E21" s="1"/>
      <c r="F21" s="1"/>
    </row>
    <row r="22" spans="1:6" ht="18.75">
      <c r="A22" s="3">
        <v>17</v>
      </c>
      <c r="B22" s="4" t="s">
        <v>22</v>
      </c>
      <c r="C22" s="7">
        <f>2669.43</f>
        <v>2669.43</v>
      </c>
      <c r="D22" s="1"/>
      <c r="E22" s="1"/>
      <c r="F22" s="1"/>
    </row>
    <row r="23" spans="1:6" ht="23.25" customHeight="1">
      <c r="A23" s="3">
        <v>18</v>
      </c>
      <c r="B23" s="4" t="s">
        <v>23</v>
      </c>
      <c r="C23" s="7">
        <f>41279</f>
        <v>41279</v>
      </c>
      <c r="D23" s="1"/>
      <c r="E23" s="1"/>
      <c r="F23" s="1"/>
    </row>
    <row r="24" spans="1:6" ht="22.5" customHeight="1">
      <c r="A24" s="3">
        <v>19</v>
      </c>
      <c r="B24" s="4" t="s">
        <v>24</v>
      </c>
      <c r="C24" s="7">
        <f>5124</f>
        <v>5124</v>
      </c>
      <c r="D24" s="1"/>
      <c r="E24" s="1"/>
      <c r="F24" s="1"/>
    </row>
    <row r="25" spans="1:6" ht="18.75">
      <c r="A25" s="5"/>
      <c r="B25" s="6" t="s">
        <v>6</v>
      </c>
      <c r="C25" s="8">
        <f>SUM(C6:C24)</f>
        <v>104713.67000000001</v>
      </c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  <row r="36" spans="1:6" ht="18.75">
      <c r="A36" s="1"/>
      <c r="B36" s="1"/>
      <c r="C36" s="1"/>
      <c r="D36" s="1"/>
      <c r="E36" s="1"/>
      <c r="F36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0">
      <selection activeCell="C24" sqref="C24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2"/>
      <c r="E1" s="12"/>
      <c r="F1" s="12"/>
    </row>
    <row r="2" spans="1:6" ht="18.75">
      <c r="A2" s="15" t="s">
        <v>4</v>
      </c>
      <c r="B2" s="15"/>
      <c r="C2" s="15"/>
      <c r="D2" s="13"/>
      <c r="E2" s="13"/>
      <c r="F2" s="13"/>
    </row>
    <row r="3" spans="1:6" ht="18.75">
      <c r="A3" s="15" t="s">
        <v>92</v>
      </c>
      <c r="B3" s="15"/>
      <c r="C3" s="15"/>
      <c r="D3" s="13"/>
      <c r="E3" s="13"/>
      <c r="F3" s="13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31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3491.14</f>
        <v>3491.14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>
        <f>2140</f>
        <v>2140</v>
      </c>
      <c r="D8" s="1"/>
      <c r="E8" s="1"/>
      <c r="F8" s="1"/>
    </row>
    <row r="9" spans="1:6" ht="18" customHeight="1">
      <c r="A9" s="3">
        <v>4</v>
      </c>
      <c r="B9" s="4" t="s">
        <v>29</v>
      </c>
      <c r="C9" s="7">
        <f>226</f>
        <v>226</v>
      </c>
      <c r="D9" s="1"/>
      <c r="E9" s="1"/>
      <c r="F9" s="1"/>
    </row>
    <row r="10" spans="1:6" ht="37.5">
      <c r="A10" s="3">
        <v>5</v>
      </c>
      <c r="B10" s="4" t="s">
        <v>11</v>
      </c>
      <c r="C10" s="7">
        <f>1144</f>
        <v>1144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>
        <f>1798.04</f>
        <v>1798.04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>
        <f>1662</f>
        <v>1662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>
        <f>3121</f>
        <v>3121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>
        <f>6561</f>
        <v>6561</v>
      </c>
      <c r="D14" s="1"/>
      <c r="E14" s="1"/>
      <c r="F14" s="1"/>
    </row>
    <row r="15" spans="1:6" ht="18.75">
      <c r="A15" s="3">
        <v>10</v>
      </c>
      <c r="B15" s="4" t="s">
        <v>16</v>
      </c>
      <c r="C15" s="7">
        <f>10260.09</f>
        <v>10260.09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30668</f>
        <v>30668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>
        <f>9881.36</f>
        <v>9881.36</v>
      </c>
      <c r="D17" s="1"/>
      <c r="E17" s="1"/>
      <c r="F17" s="1"/>
    </row>
    <row r="18" spans="1:6" ht="18.75">
      <c r="A18" s="3">
        <v>13</v>
      </c>
      <c r="B18" s="4" t="s">
        <v>19</v>
      </c>
      <c r="C18" s="7">
        <f>10216.77</f>
        <v>10216.77</v>
      </c>
      <c r="D18" s="1"/>
      <c r="E18" s="1"/>
      <c r="F18" s="1"/>
    </row>
    <row r="19" spans="1:6" ht="18.75">
      <c r="A19" s="3">
        <v>14</v>
      </c>
      <c r="B19" s="4" t="s">
        <v>20</v>
      </c>
      <c r="C19" s="7">
        <f>5338.86</f>
        <v>5338.86</v>
      </c>
      <c r="D19" s="1"/>
      <c r="E19" s="1"/>
      <c r="F19" s="1"/>
    </row>
    <row r="20" spans="1:6" ht="18.75">
      <c r="A20" s="3">
        <v>15</v>
      </c>
      <c r="B20" s="4" t="s">
        <v>21</v>
      </c>
      <c r="C20" s="7">
        <f>4004.15</f>
        <v>4004.15</v>
      </c>
      <c r="D20" s="1"/>
      <c r="E20" s="1"/>
      <c r="F20" s="1"/>
    </row>
    <row r="21" spans="1:6" ht="18.75">
      <c r="A21" s="3">
        <v>16</v>
      </c>
      <c r="B21" s="4" t="s">
        <v>22</v>
      </c>
      <c r="C21" s="7">
        <f>4004.15</f>
        <v>4004.15</v>
      </c>
      <c r="D21" s="1"/>
      <c r="E21" s="1"/>
      <c r="F21" s="1"/>
    </row>
    <row r="22" spans="1:6" ht="23.25" customHeight="1">
      <c r="A22" s="3">
        <v>17</v>
      </c>
      <c r="B22" s="4" t="s">
        <v>23</v>
      </c>
      <c r="C22" s="7">
        <f>85353</f>
        <v>85353</v>
      </c>
      <c r="D22" s="1"/>
      <c r="E22" s="1"/>
      <c r="F22" s="1"/>
    </row>
    <row r="23" spans="1:6" ht="22.5" customHeight="1">
      <c r="A23" s="3">
        <v>18</v>
      </c>
      <c r="B23" s="4" t="s">
        <v>24</v>
      </c>
      <c r="C23" s="7">
        <f>10596</f>
        <v>10596</v>
      </c>
      <c r="D23" s="1"/>
      <c r="E23" s="1"/>
      <c r="F23" s="1"/>
    </row>
    <row r="24" spans="1:6" ht="18.75">
      <c r="A24" s="5"/>
      <c r="B24" s="6" t="s">
        <v>6</v>
      </c>
      <c r="C24" s="8">
        <f>SUM(C6:C23)</f>
        <v>193318.36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8">
      <selection activeCell="E23" sqref="E23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4</v>
      </c>
      <c r="B2" s="15"/>
      <c r="C2" s="15"/>
      <c r="D2" s="10"/>
      <c r="E2" s="10"/>
      <c r="F2" s="10"/>
    </row>
    <row r="3" spans="1:6" ht="18.75">
      <c r="A3" s="15" t="s">
        <v>66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33</v>
      </c>
      <c r="C6" s="7">
        <f>11411.2</f>
        <v>11411.2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682.9</f>
        <v>682.9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34</v>
      </c>
      <c r="C9" s="7">
        <f>565</f>
        <v>565</v>
      </c>
      <c r="D9" s="1"/>
      <c r="E9" s="1"/>
      <c r="F9" s="1"/>
    </row>
    <row r="10" spans="1:6" ht="37.5">
      <c r="A10" s="3">
        <v>5</v>
      </c>
      <c r="B10" s="4" t="s">
        <v>11</v>
      </c>
      <c r="C10" s="7" t="s">
        <v>25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 t="s">
        <v>25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>
        <f>1034</f>
        <v>1034</v>
      </c>
      <c r="D12" s="1"/>
      <c r="E12" s="1"/>
      <c r="F12" s="1"/>
    </row>
    <row r="13" spans="1:6" ht="16.5" customHeight="1">
      <c r="A13" s="3">
        <v>8</v>
      </c>
      <c r="B13" s="4" t="s">
        <v>14</v>
      </c>
      <c r="C13" s="7" t="s">
        <v>25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>
        <f>2260</f>
        <v>2260</v>
      </c>
      <c r="D14" s="1"/>
      <c r="E14" s="1"/>
      <c r="F14" s="1"/>
    </row>
    <row r="15" spans="1:6" ht="18.75">
      <c r="A15" s="3">
        <v>10</v>
      </c>
      <c r="B15" s="4" t="s">
        <v>16</v>
      </c>
      <c r="C15" s="7">
        <f>541.43</f>
        <v>541.43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6085</f>
        <v>6085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>
        <f>1976.33</f>
        <v>1976.33</v>
      </c>
      <c r="D17" s="1"/>
      <c r="E17" s="1"/>
      <c r="F17" s="1"/>
    </row>
    <row r="18" spans="1:6" ht="18.75">
      <c r="A18" s="3">
        <v>13</v>
      </c>
      <c r="B18" s="4" t="s">
        <v>19</v>
      </c>
      <c r="C18" s="7">
        <f>3405.59</f>
        <v>3405.59</v>
      </c>
      <c r="D18" s="1"/>
      <c r="E18" s="1"/>
      <c r="F18" s="1"/>
    </row>
    <row r="19" spans="1:6" ht="18.75">
      <c r="A19" s="3">
        <v>14</v>
      </c>
      <c r="B19" s="4" t="s">
        <v>20</v>
      </c>
      <c r="C19" s="7">
        <f>1334.72</f>
        <v>1334.72</v>
      </c>
      <c r="D19" s="1"/>
      <c r="E19" s="1"/>
      <c r="F19" s="1"/>
    </row>
    <row r="20" spans="1:6" ht="18.75">
      <c r="A20" s="3">
        <v>15</v>
      </c>
      <c r="B20" s="4" t="s">
        <v>21</v>
      </c>
      <c r="C20" s="7">
        <v>1334.72</v>
      </c>
      <c r="D20" s="1"/>
      <c r="E20" s="1"/>
      <c r="F20" s="1"/>
    </row>
    <row r="21" spans="1:6" ht="18.75">
      <c r="A21" s="3">
        <v>16</v>
      </c>
      <c r="B21" s="4" t="s">
        <v>22</v>
      </c>
      <c r="C21" s="7">
        <f>1334.72</f>
        <v>1334.72</v>
      </c>
      <c r="D21" s="1"/>
      <c r="E21" s="1"/>
      <c r="F21" s="1"/>
    </row>
    <row r="22" spans="1:6" ht="23.25" customHeight="1">
      <c r="A22" s="3">
        <v>17</v>
      </c>
      <c r="B22" s="4" t="s">
        <v>23</v>
      </c>
      <c r="C22" s="7">
        <f>16935</f>
        <v>16935</v>
      </c>
      <c r="D22" s="1"/>
      <c r="E22" s="1"/>
      <c r="F22" s="1"/>
    </row>
    <row r="23" spans="1:6" ht="22.5" customHeight="1">
      <c r="A23" s="3">
        <v>18</v>
      </c>
      <c r="B23" s="4" t="s">
        <v>24</v>
      </c>
      <c r="C23" s="7">
        <f>2102</f>
        <v>2102</v>
      </c>
      <c r="D23" s="1"/>
      <c r="E23" s="1"/>
      <c r="F23" s="1"/>
    </row>
    <row r="24" spans="1:6" ht="18.75">
      <c r="A24" s="5"/>
      <c r="B24" s="6" t="s">
        <v>6</v>
      </c>
      <c r="C24" s="9">
        <f>SUM(C6:C23)</f>
        <v>52436.61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C24" sqref="C24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4</v>
      </c>
      <c r="B2" s="15"/>
      <c r="C2" s="15"/>
      <c r="D2" s="10"/>
      <c r="E2" s="10"/>
      <c r="F2" s="10"/>
    </row>
    <row r="3" spans="1:6" ht="18.75">
      <c r="A3" s="15" t="s">
        <v>67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28</v>
      </c>
      <c r="C6" s="7">
        <f>11411.2</f>
        <v>11411.2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681.85</f>
        <v>681.85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35</v>
      </c>
      <c r="C9" s="7">
        <f>678</f>
        <v>678</v>
      </c>
      <c r="D9" s="1"/>
      <c r="E9" s="1"/>
      <c r="F9" s="1"/>
    </row>
    <row r="10" spans="1:6" ht="37.5">
      <c r="A10" s="3">
        <v>5</v>
      </c>
      <c r="B10" s="4" t="s">
        <v>11</v>
      </c>
      <c r="C10" s="7" t="s">
        <v>25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 t="s">
        <v>25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>
        <f>1113</f>
        <v>1113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 t="s">
        <v>25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>
        <f>470</f>
        <v>470</v>
      </c>
      <c r="D14" s="1"/>
      <c r="E14" s="1"/>
      <c r="F14" s="1"/>
    </row>
    <row r="15" spans="1:6" ht="18.75">
      <c r="A15" s="3">
        <v>10</v>
      </c>
      <c r="B15" s="4" t="s">
        <v>16</v>
      </c>
      <c r="C15" s="7">
        <f>2644.5</f>
        <v>2644.5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6151</f>
        <v>6151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>
        <f>1976.33</f>
        <v>1976.33</v>
      </c>
      <c r="D17" s="1"/>
      <c r="E17" s="1"/>
      <c r="F17" s="1"/>
    </row>
    <row r="18" spans="1:6" ht="18.75">
      <c r="A18" s="3">
        <v>13</v>
      </c>
      <c r="B18" s="4" t="s">
        <v>19</v>
      </c>
      <c r="C18" s="7">
        <f>3405.59</f>
        <v>3405.59</v>
      </c>
      <c r="D18" s="1"/>
      <c r="E18" s="1"/>
      <c r="F18" s="1"/>
    </row>
    <row r="19" spans="1:6" ht="18.75">
      <c r="A19" s="3">
        <v>14</v>
      </c>
      <c r="B19" s="4" t="s">
        <v>20</v>
      </c>
      <c r="C19" s="7">
        <f>1334.72</f>
        <v>1334.72</v>
      </c>
      <c r="D19" s="1"/>
      <c r="E19" s="1"/>
      <c r="F19" s="1"/>
    </row>
    <row r="20" spans="1:6" ht="18.75">
      <c r="A20" s="3">
        <v>15</v>
      </c>
      <c r="B20" s="4" t="s">
        <v>21</v>
      </c>
      <c r="C20" s="7">
        <f>1334.72</f>
        <v>1334.72</v>
      </c>
      <c r="D20" s="1"/>
      <c r="E20" s="1"/>
      <c r="F20" s="1"/>
    </row>
    <row r="21" spans="1:6" ht="18.75">
      <c r="A21" s="3">
        <v>16</v>
      </c>
      <c r="B21" s="4" t="s">
        <v>22</v>
      </c>
      <c r="C21" s="7">
        <f>1334.72</f>
        <v>1334.72</v>
      </c>
      <c r="D21" s="1"/>
      <c r="E21" s="1"/>
      <c r="F21" s="1"/>
    </row>
    <row r="22" spans="1:6" ht="23.25" customHeight="1">
      <c r="A22" s="3">
        <v>17</v>
      </c>
      <c r="B22" s="4" t="s">
        <v>23</v>
      </c>
      <c r="C22" s="7">
        <f>17118</f>
        <v>17118</v>
      </c>
      <c r="D22" s="1"/>
      <c r="E22" s="1"/>
      <c r="F22" s="1"/>
    </row>
    <row r="23" spans="1:6" ht="22.5" customHeight="1">
      <c r="A23" s="3">
        <v>18</v>
      </c>
      <c r="B23" s="4" t="s">
        <v>24</v>
      </c>
      <c r="C23" s="7">
        <f>2125</f>
        <v>2125</v>
      </c>
      <c r="D23" s="1"/>
      <c r="E23" s="1"/>
      <c r="F23" s="1"/>
    </row>
    <row r="24" spans="1:6" ht="18.75">
      <c r="A24" s="5"/>
      <c r="B24" s="6" t="s">
        <v>6</v>
      </c>
      <c r="C24" s="8">
        <f>SUM(C6:C23)</f>
        <v>53212.630000000005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4</v>
      </c>
      <c r="B2" s="15"/>
      <c r="C2" s="15"/>
      <c r="D2" s="10"/>
      <c r="E2" s="10"/>
      <c r="F2" s="10"/>
    </row>
    <row r="3" spans="1:6" ht="18.75">
      <c r="A3" s="15" t="s">
        <v>68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28</v>
      </c>
      <c r="C6" s="7">
        <f>11411.2</f>
        <v>11411.2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667.77</f>
        <v>667.77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36</v>
      </c>
      <c r="C9" s="7">
        <f>339</f>
        <v>339</v>
      </c>
      <c r="D9" s="1"/>
      <c r="E9" s="1"/>
      <c r="F9" s="1"/>
    </row>
    <row r="10" spans="1:6" ht="37.5">
      <c r="A10" s="3">
        <v>5</v>
      </c>
      <c r="B10" s="4" t="s">
        <v>11</v>
      </c>
      <c r="C10" s="7" t="s">
        <v>25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 t="s">
        <v>25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>
        <f>1598</f>
        <v>1598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>
        <f>3318</f>
        <v>3318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>
        <f>2943</f>
        <v>2943</v>
      </c>
      <c r="D14" s="1"/>
      <c r="E14" s="1"/>
      <c r="F14" s="1"/>
    </row>
    <row r="15" spans="1:6" ht="18.75">
      <c r="A15" s="3">
        <v>10</v>
      </c>
      <c r="B15" s="4" t="s">
        <v>16</v>
      </c>
      <c r="C15" s="7">
        <f>11071.09</f>
        <v>11071.09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6017</f>
        <v>6017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>
        <f>1976.33</f>
        <v>1976.33</v>
      </c>
      <c r="D17" s="1"/>
      <c r="E17" s="1"/>
      <c r="F17" s="1"/>
    </row>
    <row r="18" spans="1:6" ht="18.75">
      <c r="A18" s="3">
        <v>13</v>
      </c>
      <c r="B18" s="4" t="s">
        <v>19</v>
      </c>
      <c r="C18" s="7">
        <f>3405.59</f>
        <v>3405.59</v>
      </c>
      <c r="D18" s="1"/>
      <c r="E18" s="1"/>
      <c r="F18" s="1"/>
    </row>
    <row r="19" spans="1:6" ht="18.75">
      <c r="A19" s="3">
        <v>14</v>
      </c>
      <c r="B19" s="4" t="s">
        <v>20</v>
      </c>
      <c r="C19" s="7">
        <f>1334.72</f>
        <v>1334.72</v>
      </c>
      <c r="D19" s="1"/>
      <c r="E19" s="1"/>
      <c r="F19" s="1"/>
    </row>
    <row r="20" spans="1:6" ht="18.75">
      <c r="A20" s="3">
        <v>15</v>
      </c>
      <c r="B20" s="4" t="s">
        <v>21</v>
      </c>
      <c r="C20" s="7">
        <f>1334.72</f>
        <v>1334.72</v>
      </c>
      <c r="D20" s="1"/>
      <c r="E20" s="1"/>
      <c r="F20" s="1"/>
    </row>
    <row r="21" spans="1:6" ht="18.75">
      <c r="A21" s="3">
        <v>16</v>
      </c>
      <c r="B21" s="4" t="s">
        <v>22</v>
      </c>
      <c r="C21" s="7">
        <f>1334.72</f>
        <v>1334.72</v>
      </c>
      <c r="D21" s="1"/>
      <c r="E21" s="1"/>
      <c r="F21" s="1"/>
    </row>
    <row r="22" spans="1:6" ht="23.25" customHeight="1">
      <c r="A22" s="3">
        <v>17</v>
      </c>
      <c r="B22" s="4" t="s">
        <v>23</v>
      </c>
      <c r="C22" s="7">
        <f>16746</f>
        <v>16746</v>
      </c>
      <c r="D22" s="1"/>
      <c r="E22" s="1"/>
      <c r="F22" s="1"/>
    </row>
    <row r="23" spans="1:6" ht="22.5" customHeight="1">
      <c r="A23" s="3">
        <v>18</v>
      </c>
      <c r="B23" s="4" t="s">
        <v>24</v>
      </c>
      <c r="C23" s="7">
        <f>2079</f>
        <v>2079</v>
      </c>
      <c r="D23" s="1"/>
      <c r="E23" s="1"/>
      <c r="F23" s="1"/>
    </row>
    <row r="24" spans="1:6" ht="18.75">
      <c r="A24" s="5"/>
      <c r="B24" s="6" t="s">
        <v>6</v>
      </c>
      <c r="C24" s="8">
        <f>SUM(C6:C23)</f>
        <v>67010.14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2">
      <selection activeCell="C25" sqref="C25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4" t="s">
        <v>0</v>
      </c>
      <c r="B1" s="14"/>
      <c r="C1" s="14"/>
      <c r="D1" s="11"/>
      <c r="E1" s="11"/>
      <c r="F1" s="11"/>
    </row>
    <row r="2" spans="1:6" ht="18.75">
      <c r="A2" s="15" t="s">
        <v>4</v>
      </c>
      <c r="B2" s="15"/>
      <c r="C2" s="15"/>
      <c r="D2" s="10"/>
      <c r="E2" s="10"/>
      <c r="F2" s="10"/>
    </row>
    <row r="3" spans="1:6" ht="18.75">
      <c r="A3" s="15" t="s">
        <v>37</v>
      </c>
      <c r="B3" s="15"/>
      <c r="C3" s="15"/>
      <c r="D3" s="10"/>
      <c r="E3" s="10"/>
      <c r="F3" s="10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5</v>
      </c>
      <c r="D5" s="1"/>
      <c r="E5" s="1"/>
      <c r="F5" s="1"/>
    </row>
    <row r="6" spans="1:6" ht="18.75">
      <c r="A6" s="3">
        <v>1</v>
      </c>
      <c r="B6" s="4" t="s">
        <v>38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8</v>
      </c>
      <c r="C7" s="7">
        <f>557.11</f>
        <v>557.11</v>
      </c>
      <c r="D7" s="1"/>
      <c r="E7" s="1"/>
      <c r="F7" s="1"/>
    </row>
    <row r="8" spans="1:6" ht="19.5" customHeight="1">
      <c r="A8" s="3">
        <v>3</v>
      </c>
      <c r="B8" s="4" t="s">
        <v>9</v>
      </c>
      <c r="C8" s="7" t="s">
        <v>25</v>
      </c>
      <c r="D8" s="1"/>
      <c r="E8" s="1"/>
      <c r="F8" s="1"/>
    </row>
    <row r="9" spans="1:6" ht="18" customHeight="1">
      <c r="A9" s="3">
        <v>4</v>
      </c>
      <c r="B9" s="4" t="s">
        <v>10</v>
      </c>
      <c r="C9" s="7" t="s">
        <v>25</v>
      </c>
      <c r="D9" s="1"/>
      <c r="E9" s="1"/>
      <c r="F9" s="1"/>
    </row>
    <row r="10" spans="1:6" ht="37.5">
      <c r="A10" s="3">
        <v>5</v>
      </c>
      <c r="B10" s="4" t="s">
        <v>11</v>
      </c>
      <c r="C10" s="7" t="s">
        <v>25</v>
      </c>
      <c r="D10" s="1"/>
      <c r="E10" s="1"/>
      <c r="F10" s="1"/>
    </row>
    <row r="11" spans="1:6" ht="20.25" customHeight="1">
      <c r="A11" s="3">
        <v>6</v>
      </c>
      <c r="B11" s="4" t="s">
        <v>12</v>
      </c>
      <c r="C11" s="7" t="s">
        <v>25</v>
      </c>
      <c r="D11" s="1"/>
      <c r="E11" s="1"/>
      <c r="F11" s="1"/>
    </row>
    <row r="12" spans="1:6" ht="16.5" customHeight="1">
      <c r="A12" s="3">
        <v>7</v>
      </c>
      <c r="B12" s="4" t="s">
        <v>13</v>
      </c>
      <c r="C12" s="7">
        <f>1527</f>
        <v>1527</v>
      </c>
      <c r="D12" s="1"/>
      <c r="E12" s="1"/>
      <c r="F12" s="1"/>
    </row>
    <row r="13" spans="1:6" ht="17.25" customHeight="1">
      <c r="A13" s="3">
        <v>8</v>
      </c>
      <c r="B13" s="4" t="s">
        <v>14</v>
      </c>
      <c r="C13" s="7" t="s">
        <v>25</v>
      </c>
      <c r="D13" s="1"/>
      <c r="E13" s="1"/>
      <c r="F13" s="1"/>
    </row>
    <row r="14" spans="1:6" ht="38.25" customHeight="1">
      <c r="A14" s="3">
        <v>9</v>
      </c>
      <c r="B14" s="4" t="s">
        <v>15</v>
      </c>
      <c r="C14" s="7" t="s">
        <v>25</v>
      </c>
      <c r="D14" s="1"/>
      <c r="E14" s="1"/>
      <c r="F14" s="1"/>
    </row>
    <row r="15" spans="1:6" ht="18.75">
      <c r="A15" s="3">
        <v>10</v>
      </c>
      <c r="B15" s="4" t="s">
        <v>16</v>
      </c>
      <c r="C15" s="7" t="s">
        <v>25</v>
      </c>
      <c r="D15" s="1"/>
      <c r="E15" s="1"/>
      <c r="F15" s="1"/>
    </row>
    <row r="16" spans="1:6" ht="18.75">
      <c r="A16" s="3">
        <v>11</v>
      </c>
      <c r="B16" s="4" t="s">
        <v>17</v>
      </c>
      <c r="C16" s="7">
        <f>4663</f>
        <v>4663</v>
      </c>
      <c r="D16" s="1"/>
      <c r="E16" s="1"/>
      <c r="F16" s="1"/>
    </row>
    <row r="17" spans="1:6" ht="40.5" customHeight="1">
      <c r="A17" s="3">
        <v>12</v>
      </c>
      <c r="B17" s="4" t="s">
        <v>18</v>
      </c>
      <c r="C17" s="7" t="s">
        <v>25</v>
      </c>
      <c r="D17" s="1"/>
      <c r="E17" s="1"/>
      <c r="F17" s="1"/>
    </row>
    <row r="18" spans="1:6" ht="40.5" customHeight="1">
      <c r="A18" s="3">
        <v>13</v>
      </c>
      <c r="B18" s="4" t="s">
        <v>39</v>
      </c>
      <c r="C18" s="7">
        <f>14718.45</f>
        <v>14718.45</v>
      </c>
      <c r="D18" s="1"/>
      <c r="E18" s="1"/>
      <c r="F18" s="1"/>
    </row>
    <row r="19" spans="1:6" ht="18.75">
      <c r="A19" s="3">
        <v>14</v>
      </c>
      <c r="B19" s="4" t="s">
        <v>19</v>
      </c>
      <c r="C19" s="7">
        <f>3405.59</f>
        <v>3405.59</v>
      </c>
      <c r="D19" s="1"/>
      <c r="E19" s="1"/>
      <c r="F19" s="1"/>
    </row>
    <row r="20" spans="1:6" ht="18.75">
      <c r="A20" s="3">
        <v>15</v>
      </c>
      <c r="B20" s="4" t="s">
        <v>20</v>
      </c>
      <c r="C20" s="7">
        <f>1334.72</f>
        <v>1334.72</v>
      </c>
      <c r="D20" s="1"/>
      <c r="E20" s="1"/>
      <c r="F20" s="1"/>
    </row>
    <row r="21" spans="1:6" ht="18.75">
      <c r="A21" s="3">
        <v>16</v>
      </c>
      <c r="B21" s="4" t="s">
        <v>21</v>
      </c>
      <c r="C21" s="7">
        <f>1334.72</f>
        <v>1334.72</v>
      </c>
      <c r="D21" s="1"/>
      <c r="E21" s="1"/>
      <c r="F21" s="1"/>
    </row>
    <row r="22" spans="1:6" ht="18.75">
      <c r="A22" s="3">
        <v>17</v>
      </c>
      <c r="B22" s="4" t="s">
        <v>22</v>
      </c>
      <c r="C22" s="7">
        <f>1334.72</f>
        <v>1334.72</v>
      </c>
      <c r="D22" s="1"/>
      <c r="E22" s="1"/>
      <c r="F22" s="1"/>
    </row>
    <row r="23" spans="1:6" ht="23.25" customHeight="1">
      <c r="A23" s="3">
        <v>18</v>
      </c>
      <c r="B23" s="4" t="s">
        <v>23</v>
      </c>
      <c r="C23" s="7">
        <f>12978</f>
        <v>12978</v>
      </c>
      <c r="D23" s="1"/>
      <c r="E23" s="1"/>
      <c r="F23" s="1"/>
    </row>
    <row r="24" spans="1:6" ht="22.5" customHeight="1">
      <c r="A24" s="3">
        <v>19</v>
      </c>
      <c r="B24" s="4" t="s">
        <v>24</v>
      </c>
      <c r="C24" s="7">
        <f>1611</f>
        <v>1611</v>
      </c>
      <c r="D24" s="1"/>
      <c r="E24" s="1"/>
      <c r="F24" s="1"/>
    </row>
    <row r="25" spans="1:6" ht="18.75">
      <c r="A25" s="5"/>
      <c r="B25" s="6" t="s">
        <v>6</v>
      </c>
      <c r="C25" s="8">
        <f>SUM(C6:C24)</f>
        <v>46317.11</v>
      </c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  <row r="36" spans="1:6" ht="18.75">
      <c r="A36" s="1"/>
      <c r="B36" s="1"/>
      <c r="C36" s="1"/>
      <c r="D36" s="1"/>
      <c r="E36" s="1"/>
      <c r="F36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2012-03-28T09:56:55Z</dcterms:modified>
  <cp:category/>
  <cp:version/>
  <cp:contentType/>
  <cp:contentStatus/>
</cp:coreProperties>
</file>